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omments4.xml" ContentType="application/vnd.openxmlformats-officedocument.spreadsheetml.comments+xml"/>
  <Override PartName="/xl/threadedComments/threadedComment1.xml" ContentType="application/vnd.ms-excel.threadedcomments+xml"/>
  <Override PartName="/xl/comments5.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tables/table1.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omments6.xml" ContentType="application/vnd.openxmlformats-officedocument.spreadsheetml.comments+xml"/>
  <Override PartName="/xl/threadedComments/threadedComment3.xml" ContentType="application/vnd.ms-excel.threadedcomments+xml"/>
  <Override PartName="/xl/comments7.xml" ContentType="application/vnd.openxmlformats-officedocument.spreadsheetml.comments+xml"/>
  <Override PartName="/xl/threadedComments/threadedComment4.xml" ContentType="application/vnd.ms-excel.threadedcomments+xml"/>
  <Override PartName="/xl/drawings/drawing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omments8.xml" ContentType="application/vnd.openxmlformats-officedocument.spreadsheetml.comments+xml"/>
  <Override PartName="/xl/threadedComments/threadedComment5.xml" ContentType="application/vnd.ms-excel.threaded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7.xml" ContentType="application/vnd.openxmlformats-officedocument.drawing+xml"/>
  <Override PartName="/xl/comments9.xml" ContentType="application/vnd.openxmlformats-officedocument.spreadsheetml.comments+xml"/>
  <Override PartName="/xl/threadedComments/threadedComment6.xml" ContentType="application/vnd.ms-excel.threadedcomments+xml"/>
  <Override PartName="/xl/comments10.xml" ContentType="application/vnd.openxmlformats-officedocument.spreadsheetml.comments+xml"/>
  <Override PartName="/xl/threadedComments/threadedComment7.xml" ContentType="application/vnd.ms-excel.threadedcomments+xml"/>
  <Override PartName="/xl/comments11.xml" ContentType="application/vnd.openxmlformats-officedocument.spreadsheetml.comments+xml"/>
  <Override PartName="/xl/threadedComments/threadedComment8.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hidePivotFieldList="1" defaultThemeVersion="166925"/>
  <mc:AlternateContent xmlns:mc="http://schemas.openxmlformats.org/markup-compatibility/2006">
    <mc:Choice Requires="x15">
      <x15ac:absPath xmlns:x15ac="http://schemas.microsoft.com/office/spreadsheetml/2010/11/ac" url="/Users/maderlinweng/Downloads/"/>
    </mc:Choice>
  </mc:AlternateContent>
  <xr:revisionPtr revIDLastSave="0" documentId="8_{F78B6947-2D77-DE45-B2C7-49625BAA4069}" xr6:coauthVersionLast="47" xr6:coauthVersionMax="47" xr10:uidLastSave="{00000000-0000-0000-0000-000000000000}"/>
  <bookViews>
    <workbookView xWindow="820" yWindow="500" windowWidth="27980" windowHeight="16260" firstSheet="24" activeTab="27" xr2:uid="{F18522D6-C346-4F6A-86F6-336FFEBEBD2D}"/>
  </bookViews>
  <sheets>
    <sheet name="Index" sheetId="111" r:id="rId1"/>
    <sheet name="FE Assumptions" sheetId="2" r:id="rId2"/>
    <sheet name="FE Income Statement" sheetId="3" r:id="rId3"/>
    <sheet name="FE Cash Flow" sheetId="5" r:id="rId4"/>
    <sheet name="FE Balance Sheet" sheetId="4" r:id="rId5"/>
    <sheet name="FE CAPM - Comparable Ratios" sheetId="10" r:id="rId6"/>
    <sheet name="FE Terminal Value" sheetId="116" r:id="rId7"/>
    <sheet name="FE Income Statement Graphs" sheetId="132" r:id="rId8"/>
    <sheet name="OM Assumptions" sheetId="31" r:id="rId9"/>
    <sheet name="Time 0 Startup Inventory" sheetId="133" r:id="rId10"/>
    <sheet name="OM Information Systems Expenses" sheetId="60" r:id="rId11"/>
    <sheet name="OM SG&amp;A" sheetId="73" r:id="rId12"/>
    <sheet name="CAPEX" sheetId="33" r:id="rId13"/>
    <sheet name="OM MOH" sheetId="27" r:id="rId14"/>
    <sheet name="OM Labor" sheetId="26" r:id="rId15"/>
    <sheet name="OM Micro Data" sheetId="87" r:id="rId16"/>
    <sheet name="OM Raw Materials Y1 - Y5" sheetId="14" r:id="rId17"/>
    <sheet name="OM $ Raw Material " sheetId="11" r:id="rId18"/>
    <sheet name="Finished Goods " sheetId="88" r:id="rId19"/>
    <sheet name="Aggregate Planning" sheetId="96" r:id="rId20"/>
    <sheet name="Capacity" sheetId="94" r:id="rId21"/>
    <sheet name="Target Costing" sheetId="130" r:id="rId22"/>
    <sheet name="Logistics of Transportation" sheetId="86" r:id="rId23"/>
    <sheet name="OM Make Versus Buy Analysis" sheetId="82" r:id="rId24"/>
    <sheet name="MK Assumptions" sheetId="46" r:id="rId25"/>
    <sheet name="MK Bases Model (Base Case)" sheetId="50" r:id="rId26"/>
    <sheet name="MK Avg Manf. Selling Price" sheetId="48" r:id="rId27"/>
    <sheet name="MK Purchase Intent and Price" sheetId="105" r:id="rId28"/>
    <sheet name="MK IMC Schedule" sheetId="127" r:id="rId29"/>
    <sheet name="MK ACV" sheetId="128" r:id="rId30"/>
    <sheet name="MK IMC Calculations" sheetId="51" r:id="rId31"/>
    <sheet name="MK BASES For Segment Size" sheetId="125" r:id="rId32"/>
    <sheet name="FE MK OM Bases_Y1-Y5" sheetId="18" r:id="rId33"/>
  </sheets>
  <definedNames>
    <definedName name="NPV_All">#REF!</definedName>
    <definedName name="NPV_Var1">#REF!</definedName>
    <definedName name="NPV_Var2">#REF!</definedName>
    <definedName name="NPV_Var3">#REF!</definedName>
    <definedName name="Scenario">'FE Assumptions'!$C$5</definedName>
    <definedName name="Simulation_Number">#REF!</definedName>
    <definedName name="solver_adj" localSheetId="12" hidden="1">CAPEX!#REF!</definedName>
    <definedName name="solver_cvg" localSheetId="12" hidden="1">0.0001</definedName>
    <definedName name="solver_drv" localSheetId="12" hidden="1">1</definedName>
    <definedName name="solver_eng" localSheetId="20" hidden="1">1</definedName>
    <definedName name="solver_eng" localSheetId="12" hidden="1">1</definedName>
    <definedName name="solver_itr" localSheetId="12" hidden="1">2147483647</definedName>
    <definedName name="solver_lin" localSheetId="20" hidden="1">2</definedName>
    <definedName name="solver_lin" localSheetId="12" hidden="1">2</definedName>
    <definedName name="solver_mip" localSheetId="12" hidden="1">2147483647</definedName>
    <definedName name="solver_mni" localSheetId="12" hidden="1">30</definedName>
    <definedName name="solver_mrt" localSheetId="12" hidden="1">0.075</definedName>
    <definedName name="solver_msl" localSheetId="12" hidden="1">2</definedName>
    <definedName name="solver_neg" localSheetId="20" hidden="1">1</definedName>
    <definedName name="solver_neg" localSheetId="12" hidden="1">1</definedName>
    <definedName name="solver_nod" localSheetId="12" hidden="1">2147483647</definedName>
    <definedName name="solver_num" localSheetId="20" hidden="1">0</definedName>
    <definedName name="solver_num" localSheetId="12" hidden="1">0</definedName>
    <definedName name="solver_opt" localSheetId="20" hidden="1">Capacity!$L$71</definedName>
    <definedName name="solver_opt" localSheetId="12" hidden="1">CAPEX!#REF!</definedName>
    <definedName name="solver_pre" localSheetId="12" hidden="1">0.000001</definedName>
    <definedName name="solver_rbv" localSheetId="12" hidden="1">1</definedName>
    <definedName name="solver_rlx" localSheetId="12" hidden="1">2</definedName>
    <definedName name="solver_rsd" localSheetId="12" hidden="1">0</definedName>
    <definedName name="solver_scl" localSheetId="12" hidden="1">1</definedName>
    <definedName name="solver_sho" localSheetId="12" hidden="1">2</definedName>
    <definedName name="solver_ssz" localSheetId="12" hidden="1">100</definedName>
    <definedName name="solver_tim" localSheetId="12" hidden="1">2147483647</definedName>
    <definedName name="solver_tol" localSheetId="12" hidden="1">0.01</definedName>
    <definedName name="solver_typ" localSheetId="20" hidden="1">1</definedName>
    <definedName name="solver_typ" localSheetId="12" hidden="1">3</definedName>
    <definedName name="solver_val" localSheetId="20" hidden="1">0</definedName>
    <definedName name="solver_val" localSheetId="12" hidden="1">2</definedName>
    <definedName name="solver_ver" localSheetId="20" hidden="1">2</definedName>
    <definedName name="solver_ver" localSheetId="12" hidden="1">2</definedName>
  </definedNames>
  <calcPr calcId="191028"/>
  <pivotCaches>
    <pivotCache cacheId="0" r:id="rId3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9" i="105" l="1"/>
  <c r="K78" i="105"/>
  <c r="C9" i="133"/>
  <c r="H19" i="73"/>
  <c r="D44" i="48"/>
  <c r="K66" i="94"/>
  <c r="D7" i="86"/>
  <c r="H11" i="88"/>
  <c r="H10" i="88"/>
  <c r="J12" i="26"/>
  <c r="I19" i="27"/>
  <c r="E7" i="128"/>
  <c r="J16" i="82"/>
  <c r="E16" i="82"/>
  <c r="E49" i="82"/>
  <c r="E46" i="82"/>
  <c r="K23" i="46"/>
  <c r="D24" i="46"/>
  <c r="E24" i="46" s="1"/>
  <c r="E25" i="46" s="1"/>
  <c r="E26" i="46" s="1"/>
  <c r="I24" i="46"/>
  <c r="K24" i="46"/>
  <c r="O24" i="46"/>
  <c r="O25" i="46" s="1"/>
  <c r="O26" i="46" s="1"/>
  <c r="O27" i="46" s="1"/>
  <c r="I25" i="46"/>
  <c r="K25" i="46"/>
  <c r="I26" i="46"/>
  <c r="K26" i="46"/>
  <c r="I27" i="46"/>
  <c r="K27" i="46"/>
  <c r="B13" i="116"/>
  <c r="B14" i="116" s="1"/>
  <c r="B15" i="116" s="1"/>
  <c r="B16" i="116" s="1"/>
  <c r="B17" i="116" s="1"/>
  <c r="B18" i="116" s="1"/>
  <c r="B19" i="116" s="1"/>
  <c r="C110" i="31"/>
  <c r="E110" i="31" s="1"/>
  <c r="F110" i="31" s="1"/>
  <c r="G110" i="31" s="1"/>
  <c r="H110" i="31" s="1"/>
  <c r="I110" i="31" s="1"/>
  <c r="E9" i="73"/>
  <c r="F10" i="73"/>
  <c r="G10" i="73"/>
  <c r="H10" i="73"/>
  <c r="I10" i="73"/>
  <c r="E10" i="73"/>
  <c r="G25" i="3"/>
  <c r="I28" i="46" l="1"/>
  <c r="L26" i="46"/>
  <c r="L27" i="46"/>
  <c r="L25" i="46"/>
  <c r="L24" i="46"/>
  <c r="J21" i="60"/>
  <c r="C10" i="133"/>
  <c r="I21" i="60"/>
  <c r="I21" i="11"/>
  <c r="I20" i="11"/>
  <c r="E18" i="73"/>
  <c r="D18" i="73"/>
  <c r="E24" i="73"/>
  <c r="E28" i="73"/>
  <c r="E27" i="73"/>
  <c r="E21" i="73"/>
  <c r="D72" i="94"/>
  <c r="D63" i="94"/>
  <c r="D9" i="26"/>
  <c r="E20" i="33"/>
  <c r="D33" i="31"/>
  <c r="E33" i="31" s="1"/>
  <c r="L28" i="46" l="1"/>
  <c r="J29" i="46" s="1"/>
  <c r="I7" i="48"/>
  <c r="L13" i="125"/>
  <c r="F42" i="2"/>
  <c r="E42" i="2"/>
  <c r="D42" i="2"/>
  <c r="F41" i="2"/>
  <c r="E41" i="2"/>
  <c r="D41" i="2"/>
  <c r="F43" i="2"/>
  <c r="E43" i="2"/>
  <c r="D43" i="2"/>
  <c r="E38" i="2"/>
  <c r="D38" i="2"/>
  <c r="D37" i="2"/>
  <c r="E37" i="2"/>
  <c r="N9" i="96"/>
  <c r="O9" i="96"/>
  <c r="K9" i="96"/>
  <c r="D9" i="96"/>
  <c r="H9" i="96"/>
  <c r="E9" i="96"/>
  <c r="D66" i="31"/>
  <c r="E66" i="31" s="1"/>
  <c r="F66" i="31" s="1"/>
  <c r="G66" i="31" s="1"/>
  <c r="D48" i="31"/>
  <c r="E48" i="31" s="1"/>
  <c r="F48" i="31" s="1"/>
  <c r="G48" i="31" s="1"/>
  <c r="F33" i="31"/>
  <c r="G33" i="31" s="1"/>
  <c r="I9" i="96"/>
  <c r="L9" i="96"/>
  <c r="C89" i="94"/>
  <c r="E89" i="94" s="1"/>
  <c r="F89" i="94" s="1"/>
  <c r="C88" i="94"/>
  <c r="E88" i="94" s="1"/>
  <c r="F88" i="94" s="1"/>
  <c r="C87" i="94"/>
  <c r="E87" i="94" s="1"/>
  <c r="F87" i="94" s="1"/>
  <c r="C86" i="94"/>
  <c r="E86" i="94" s="1"/>
  <c r="F86" i="94" s="1"/>
  <c r="C85" i="94"/>
  <c r="E85" i="94" s="1"/>
  <c r="C80" i="94"/>
  <c r="E80" i="94" s="1"/>
  <c r="F80" i="94" s="1"/>
  <c r="C79" i="94"/>
  <c r="E79" i="94" s="1"/>
  <c r="F79" i="94" s="1"/>
  <c r="C78" i="94"/>
  <c r="E78" i="94" s="1"/>
  <c r="F78" i="94" s="1"/>
  <c r="C77" i="94"/>
  <c r="E77" i="94" s="1"/>
  <c r="F77" i="94" s="1"/>
  <c r="C76" i="94"/>
  <c r="E76" i="94" s="1"/>
  <c r="C71" i="94"/>
  <c r="E71" i="94" s="1"/>
  <c r="F71" i="94" s="1"/>
  <c r="C70" i="94"/>
  <c r="E70" i="94" s="1"/>
  <c r="F70" i="94" s="1"/>
  <c r="C69" i="94"/>
  <c r="E69" i="94" s="1"/>
  <c r="F69" i="94" s="1"/>
  <c r="C68" i="94"/>
  <c r="E68" i="94" s="1"/>
  <c r="F68" i="94" s="1"/>
  <c r="C67" i="94"/>
  <c r="E67" i="94" s="1"/>
  <c r="C62" i="94"/>
  <c r="E62" i="94" s="1"/>
  <c r="C61" i="94"/>
  <c r="E61" i="94" s="1"/>
  <c r="C60" i="94"/>
  <c r="E60" i="94" s="1"/>
  <c r="C59" i="94"/>
  <c r="E59" i="94" s="1"/>
  <c r="C58" i="94"/>
  <c r="E58" i="94" s="1"/>
  <c r="C53" i="94"/>
  <c r="E53" i="94" s="1"/>
  <c r="C52" i="94"/>
  <c r="E52" i="94" s="1"/>
  <c r="C51" i="94"/>
  <c r="E51" i="94" s="1"/>
  <c r="C50" i="94"/>
  <c r="E50" i="94" s="1"/>
  <c r="C49" i="94"/>
  <c r="E49" i="94" s="1"/>
  <c r="D81" i="94"/>
  <c r="D90" i="94"/>
  <c r="C40" i="94"/>
  <c r="H40" i="94"/>
  <c r="C41" i="94"/>
  <c r="H41" i="94"/>
  <c r="C42" i="94"/>
  <c r="H42" i="94"/>
  <c r="C43" i="94"/>
  <c r="H43" i="94"/>
  <c r="C44" i="94"/>
  <c r="H44" i="94"/>
  <c r="E21" i="60"/>
  <c r="C30" i="31"/>
  <c r="C29" i="31"/>
  <c r="C28" i="31"/>
  <c r="C27" i="31"/>
  <c r="C26" i="31"/>
  <c r="C25" i="31"/>
  <c r="C24" i="31"/>
  <c r="C23" i="31"/>
  <c r="C22" i="31"/>
  <c r="C21" i="31"/>
  <c r="C20" i="31"/>
  <c r="C18" i="31"/>
  <c r="C17" i="31"/>
  <c r="C16" i="31"/>
  <c r="C15" i="31"/>
  <c r="D175" i="132"/>
  <c r="D176" i="132" s="1"/>
  <c r="D177" i="132" s="1"/>
  <c r="D178" i="132" s="1"/>
  <c r="D179" i="132" s="1"/>
  <c r="D51" i="4"/>
  <c r="E51" i="4" s="1"/>
  <c r="F51" i="4" s="1"/>
  <c r="G51" i="4" s="1"/>
  <c r="H51" i="4" s="1"/>
  <c r="I51" i="4" s="1"/>
  <c r="F62" i="94" l="1"/>
  <c r="F59" i="94"/>
  <c r="F63" i="94"/>
  <c r="J88" i="94" s="1"/>
  <c r="F81" i="94"/>
  <c r="L88" i="94" s="1"/>
  <c r="E54" i="94"/>
  <c r="F54" i="94" s="1"/>
  <c r="D12" i="26" s="1"/>
  <c r="F67" i="94"/>
  <c r="F72" i="94" s="1"/>
  <c r="K88" i="94" s="1"/>
  <c r="E72" i="94"/>
  <c r="E63" i="94"/>
  <c r="F76" i="94"/>
  <c r="E81" i="94"/>
  <c r="E90" i="94"/>
  <c r="F85" i="94"/>
  <c r="F90" i="94" s="1"/>
  <c r="C21" i="2"/>
  <c r="D23" i="4"/>
  <c r="F21" i="73"/>
  <c r="D21" i="73"/>
  <c r="E45" i="82"/>
  <c r="E32" i="73"/>
  <c r="F27" i="73"/>
  <c r="G27" i="73" s="1"/>
  <c r="H27" i="73" s="1"/>
  <c r="I27" i="73" s="1"/>
  <c r="F23" i="73" l="1"/>
  <c r="G21" i="73"/>
  <c r="E23" i="73"/>
  <c r="I88" i="94"/>
  <c r="E12" i="26"/>
  <c r="G13" i="94"/>
  <c r="M88" i="94"/>
  <c r="H21" i="73" l="1"/>
  <c r="I21" i="73" s="1"/>
  <c r="G23" i="73"/>
  <c r="D37" i="18"/>
  <c r="E37" i="18"/>
  <c r="F37" i="18"/>
  <c r="G37" i="18"/>
  <c r="H37" i="18"/>
  <c r="C41" i="132" l="1"/>
  <c r="G71" i="130"/>
  <c r="F49" i="130"/>
  <c r="F8" i="132"/>
  <c r="F7" i="132"/>
  <c r="F6" i="132"/>
  <c r="F5" i="132"/>
  <c r="E8" i="132"/>
  <c r="E7" i="132"/>
  <c r="E6" i="132"/>
  <c r="E5" i="132"/>
  <c r="F25" i="3"/>
  <c r="H25" i="3"/>
  <c r="I25" i="3"/>
  <c r="E25" i="3"/>
  <c r="F13" i="94"/>
  <c r="F30" i="94" s="1"/>
  <c r="E13" i="94"/>
  <c r="E30" i="94" s="1"/>
  <c r="D13" i="94"/>
  <c r="D30" i="94" s="1"/>
  <c r="C13" i="94"/>
  <c r="C30" i="94" s="1"/>
  <c r="E12" i="60"/>
  <c r="D35" i="73"/>
  <c r="E20" i="60"/>
  <c r="C22" i="94"/>
  <c r="C20" i="94"/>
  <c r="H21" i="60"/>
  <c r="E15" i="60"/>
  <c r="E35" i="73"/>
  <c r="F32" i="73"/>
  <c r="G32" i="73"/>
  <c r="H32" i="73"/>
  <c r="I32" i="73"/>
  <c r="D32" i="73"/>
  <c r="D93" i="31"/>
  <c r="C22" i="2" s="1"/>
  <c r="T222" i="127"/>
  <c r="G21" i="33"/>
  <c r="T293" i="127"/>
  <c r="T281" i="127"/>
  <c r="T276" i="127"/>
  <c r="T245" i="127"/>
  <c r="R292" i="127"/>
  <c r="R284" i="127"/>
  <c r="R281" i="127"/>
  <c r="R276" i="127"/>
  <c r="F21" i="60"/>
  <c r="G21" i="60"/>
  <c r="E16" i="27"/>
  <c r="T210" i="127"/>
  <c r="T205" i="127"/>
  <c r="T175" i="127"/>
  <c r="F24" i="73"/>
  <c r="G24" i="73" s="1"/>
  <c r="H24" i="73" s="1"/>
  <c r="I24" i="73" s="1"/>
  <c r="I26" i="73" s="1"/>
  <c r="R221" i="127"/>
  <c r="R213" i="127"/>
  <c r="R210" i="127"/>
  <c r="C10" i="27"/>
  <c r="F12" i="27" s="1"/>
  <c r="G177" i="130"/>
  <c r="F155" i="130"/>
  <c r="G142" i="130"/>
  <c r="F120" i="130"/>
  <c r="G106" i="130"/>
  <c r="F84" i="130"/>
  <c r="D46" i="130"/>
  <c r="D11" i="130"/>
  <c r="G36" i="130"/>
  <c r="R205" i="127"/>
  <c r="F14" i="130"/>
  <c r="F28" i="73"/>
  <c r="K21" i="11"/>
  <c r="D19" i="31"/>
  <c r="T153" i="127"/>
  <c r="T141" i="127"/>
  <c r="T136" i="127"/>
  <c r="Y48" i="14"/>
  <c r="Z48" i="14"/>
  <c r="AA48" i="14"/>
  <c r="AB48" i="14"/>
  <c r="X48" i="14"/>
  <c r="T124" i="127"/>
  <c r="G22" i="11"/>
  <c r="Y67" i="14"/>
  <c r="Z67" i="14"/>
  <c r="AA67" i="14"/>
  <c r="AB67" i="14"/>
  <c r="X67" i="14"/>
  <c r="V25" i="51"/>
  <c r="R67" i="14"/>
  <c r="S67" i="14"/>
  <c r="T67" i="14"/>
  <c r="U67" i="14"/>
  <c r="Q67" i="14"/>
  <c r="K67" i="14"/>
  <c r="L67" i="14"/>
  <c r="M67" i="14"/>
  <c r="N67" i="14"/>
  <c r="K48" i="14"/>
  <c r="L48" i="14"/>
  <c r="M48" i="14"/>
  <c r="N48" i="14"/>
  <c r="J48" i="14"/>
  <c r="J67" i="14"/>
  <c r="Y29" i="14"/>
  <c r="Z29" i="14"/>
  <c r="AA29" i="14"/>
  <c r="AB29" i="14"/>
  <c r="X29" i="14"/>
  <c r="R29" i="14"/>
  <c r="S29" i="14"/>
  <c r="T29" i="14"/>
  <c r="U29" i="14"/>
  <c r="Q29" i="14"/>
  <c r="Y10" i="14"/>
  <c r="Z10" i="14"/>
  <c r="AA10" i="14"/>
  <c r="AB10" i="14"/>
  <c r="X10" i="14"/>
  <c r="K29" i="14"/>
  <c r="L29" i="14"/>
  <c r="M29" i="14"/>
  <c r="N29" i="14"/>
  <c r="U48" i="14"/>
  <c r="R48" i="14"/>
  <c r="S48" i="14"/>
  <c r="T48" i="14"/>
  <c r="Q48" i="14"/>
  <c r="J29" i="14"/>
  <c r="R10" i="14"/>
  <c r="S10" i="14"/>
  <c r="T10" i="14"/>
  <c r="U10" i="14"/>
  <c r="Q10" i="14"/>
  <c r="D67" i="14"/>
  <c r="E67" i="14"/>
  <c r="F67" i="14"/>
  <c r="G67" i="14"/>
  <c r="C67" i="14"/>
  <c r="D48" i="14"/>
  <c r="E48" i="14"/>
  <c r="F48" i="14"/>
  <c r="G48" i="14"/>
  <c r="C48" i="14"/>
  <c r="G29" i="14"/>
  <c r="D10" i="14"/>
  <c r="E10" i="14"/>
  <c r="F10" i="14"/>
  <c r="G10" i="14"/>
  <c r="K10" i="14"/>
  <c r="L10" i="14"/>
  <c r="M10" i="14"/>
  <c r="N10" i="14"/>
  <c r="J10" i="14"/>
  <c r="D29" i="14"/>
  <c r="E29" i="14"/>
  <c r="F29" i="14"/>
  <c r="C29" i="14"/>
  <c r="C10" i="14"/>
  <c r="E97" i="31"/>
  <c r="I35" i="73"/>
  <c r="F35" i="73"/>
  <c r="G35" i="73"/>
  <c r="H35" i="73"/>
  <c r="W15" i="96"/>
  <c r="W14" i="96"/>
  <c r="W13" i="96"/>
  <c r="W12" i="96"/>
  <c r="W11" i="96"/>
  <c r="I6" i="11"/>
  <c r="R151" i="127"/>
  <c r="R144" i="127"/>
  <c r="R141" i="127"/>
  <c r="R136" i="127"/>
  <c r="J28" i="60"/>
  <c r="J27" i="60"/>
  <c r="E30" i="60"/>
  <c r="E28" i="60"/>
  <c r="E27" i="60"/>
  <c r="T103" i="127"/>
  <c r="T91" i="127"/>
  <c r="T86" i="127"/>
  <c r="T69" i="127"/>
  <c r="R102" i="127"/>
  <c r="R94" i="127"/>
  <c r="R91" i="127"/>
  <c r="R86" i="127"/>
  <c r="E16" i="3"/>
  <c r="T42" i="127"/>
  <c r="R51" i="127"/>
  <c r="E8" i="128"/>
  <c r="E17" i="128"/>
  <c r="E18" i="128"/>
  <c r="E19" i="128"/>
  <c r="R44" i="127"/>
  <c r="E12" i="128"/>
  <c r="E13" i="128"/>
  <c r="E14" i="128"/>
  <c r="E9" i="128"/>
  <c r="R42" i="127"/>
  <c r="C20" i="2"/>
  <c r="C32" i="128"/>
  <c r="H9" i="46" s="1"/>
  <c r="C26" i="128"/>
  <c r="G9" i="46" s="1"/>
  <c r="C20" i="128"/>
  <c r="C14" i="128"/>
  <c r="E9" i="46" s="1"/>
  <c r="C9" i="128"/>
  <c r="H13" i="60"/>
  <c r="G10" i="33"/>
  <c r="G19" i="33"/>
  <c r="E27" i="33"/>
  <c r="E35" i="33"/>
  <c r="D35" i="33"/>
  <c r="E50" i="33"/>
  <c r="E41" i="33"/>
  <c r="E54" i="33"/>
  <c r="E9" i="33"/>
  <c r="E8" i="33"/>
  <c r="E55" i="33" s="1"/>
  <c r="E11" i="33"/>
  <c r="G11" i="33" s="1"/>
  <c r="E12" i="33"/>
  <c r="E13" i="33"/>
  <c r="E14" i="33"/>
  <c r="E44" i="33" s="1"/>
  <c r="E15" i="33"/>
  <c r="E16" i="33"/>
  <c r="E51" i="33" s="1"/>
  <c r="E17" i="33"/>
  <c r="E18" i="33"/>
  <c r="E52" i="33" s="1"/>
  <c r="D19" i="128" l="1"/>
  <c r="E11" i="50"/>
  <c r="F14" i="18"/>
  <c r="F9" i="46"/>
  <c r="D23" i="128"/>
  <c r="D25" i="128"/>
  <c r="G14" i="18"/>
  <c r="F11" i="50"/>
  <c r="D29" i="128"/>
  <c r="H14" i="18"/>
  <c r="G11" i="50"/>
  <c r="C11" i="50"/>
  <c r="D14" i="18"/>
  <c r="D8" i="128"/>
  <c r="C9" i="48" s="1"/>
  <c r="D14" i="128"/>
  <c r="E14" i="18"/>
  <c r="F48" i="130" s="1"/>
  <c r="D11" i="50"/>
  <c r="D9" i="128"/>
  <c r="D18" i="128"/>
  <c r="D9" i="46"/>
  <c r="F97" i="31"/>
  <c r="F9" i="73"/>
  <c r="C31" i="94"/>
  <c r="C32" i="94"/>
  <c r="D31" i="94"/>
  <c r="D32" i="94"/>
  <c r="E31" i="94"/>
  <c r="E32" i="94"/>
  <c r="F31" i="94"/>
  <c r="F32" i="94"/>
  <c r="F18" i="73"/>
  <c r="G18" i="73" s="1"/>
  <c r="F16" i="27"/>
  <c r="G16" i="27" s="1"/>
  <c r="H16" i="27" s="1"/>
  <c r="I16" i="27" s="1"/>
  <c r="E12" i="27"/>
  <c r="G28" i="73"/>
  <c r="E22" i="94"/>
  <c r="D23" i="73"/>
  <c r="D31" i="73" s="1"/>
  <c r="D7" i="73" s="1"/>
  <c r="E36" i="73"/>
  <c r="F20" i="60" s="1"/>
  <c r="H26" i="73"/>
  <c r="F26" i="73"/>
  <c r="F30" i="73" s="1"/>
  <c r="G26" i="73"/>
  <c r="E26" i="73"/>
  <c r="E30" i="73" s="1"/>
  <c r="E31" i="73" s="1"/>
  <c r="E7" i="73" s="1"/>
  <c r="I12" i="27"/>
  <c r="H12" i="27"/>
  <c r="G12" i="27"/>
  <c r="F16" i="3"/>
  <c r="D20" i="128"/>
  <c r="D7" i="128"/>
  <c r="D13" i="128"/>
  <c r="D17" i="128"/>
  <c r="D24" i="128"/>
  <c r="D22" i="128"/>
  <c r="D30" i="128"/>
  <c r="D28" i="128"/>
  <c r="C41" i="48" s="1"/>
  <c r="D31" i="128"/>
  <c r="D12" i="128"/>
  <c r="G35" i="33"/>
  <c r="E53" i="33"/>
  <c r="E29" i="33"/>
  <c r="E43" i="33"/>
  <c r="G9" i="33"/>
  <c r="G27" i="33"/>
  <c r="E42" i="33"/>
  <c r="E28" i="33"/>
  <c r="C36" i="48" l="1"/>
  <c r="L24" i="128"/>
  <c r="L22" i="128"/>
  <c r="L23" i="128"/>
  <c r="C43" i="48"/>
  <c r="J30" i="128"/>
  <c r="J29" i="128"/>
  <c r="J28" i="128"/>
  <c r="C35" i="48"/>
  <c r="J24" i="128"/>
  <c r="J22" i="128"/>
  <c r="J23" i="128"/>
  <c r="C24" i="48"/>
  <c r="F18" i="128"/>
  <c r="F19" i="128"/>
  <c r="F17" i="128"/>
  <c r="F20" i="128" s="1"/>
  <c r="H22" i="128"/>
  <c r="H26" i="128" s="1"/>
  <c r="C34" i="48"/>
  <c r="D26" i="128"/>
  <c r="C33" i="48"/>
  <c r="C25" i="48"/>
  <c r="H17" i="128"/>
  <c r="H20" i="128" s="1"/>
  <c r="C8" i="48"/>
  <c r="F9" i="128"/>
  <c r="F8" i="128"/>
  <c r="F7" i="128"/>
  <c r="C44" i="48"/>
  <c r="L29" i="128"/>
  <c r="L30" i="128"/>
  <c r="L28" i="128"/>
  <c r="H12" i="128"/>
  <c r="H15" i="128" s="1"/>
  <c r="C17" i="48"/>
  <c r="H7" i="128"/>
  <c r="H10" i="128" s="1"/>
  <c r="C16" i="48"/>
  <c r="F12" i="128"/>
  <c r="F13" i="128"/>
  <c r="F14" i="128"/>
  <c r="H28" i="128"/>
  <c r="H32" i="128" s="1"/>
  <c r="C42" i="48"/>
  <c r="C26" i="48"/>
  <c r="J18" i="128"/>
  <c r="J17" i="128"/>
  <c r="J19" i="128"/>
  <c r="G97" i="31"/>
  <c r="G9" i="73"/>
  <c r="F31" i="73"/>
  <c r="F7" i="73" s="1"/>
  <c r="C71" i="2"/>
  <c r="E15" i="27"/>
  <c r="H28" i="73"/>
  <c r="G30" i="73"/>
  <c r="F9" i="94"/>
  <c r="F8" i="94"/>
  <c r="F6" i="94"/>
  <c r="F7" i="94"/>
  <c r="H18" i="73"/>
  <c r="G16" i="3"/>
  <c r="D32" i="128"/>
  <c r="F42" i="48"/>
  <c r="D42" i="48" s="1"/>
  <c r="F34" i="48"/>
  <c r="D34" i="48" s="1"/>
  <c r="F25" i="48"/>
  <c r="D25" i="48" s="1"/>
  <c r="F17" i="48"/>
  <c r="D17" i="48" s="1"/>
  <c r="F9" i="48"/>
  <c r="D9" i="48" s="1"/>
  <c r="J8" i="48"/>
  <c r="L32" i="128" l="1"/>
  <c r="J32" i="128"/>
  <c r="L26" i="128"/>
  <c r="F15" i="128"/>
  <c r="J26" i="128"/>
  <c r="J20" i="128"/>
  <c r="H97" i="31"/>
  <c r="I9" i="73" s="1"/>
  <c r="H9" i="73"/>
  <c r="I18" i="73"/>
  <c r="I19" i="73" s="1"/>
  <c r="I28" i="73"/>
  <c r="I30" i="73" s="1"/>
  <c r="H30" i="73"/>
  <c r="F15" i="27"/>
  <c r="H16" i="3"/>
  <c r="F10" i="128"/>
  <c r="R18" i="105"/>
  <c r="T18" i="105" s="1"/>
  <c r="T21" i="105" s="1"/>
  <c r="R20" i="105"/>
  <c r="T20" i="105" s="1"/>
  <c r="R19" i="105"/>
  <c r="T19" i="105" s="1"/>
  <c r="R12" i="105"/>
  <c r="T12" i="105" s="1"/>
  <c r="R11" i="105"/>
  <c r="T11" i="105" s="1"/>
  <c r="R10" i="105"/>
  <c r="T10" i="105" s="1"/>
  <c r="W114" i="105"/>
  <c r="V114" i="105"/>
  <c r="X114" i="105" s="1"/>
  <c r="W113" i="105"/>
  <c r="V113" i="105"/>
  <c r="W112" i="105"/>
  <c r="V112" i="105"/>
  <c r="W111" i="105"/>
  <c r="V111" i="105"/>
  <c r="W110" i="105"/>
  <c r="V110" i="105"/>
  <c r="X110" i="105" s="1"/>
  <c r="K102" i="105"/>
  <c r="J102" i="105"/>
  <c r="K101" i="105"/>
  <c r="J101" i="105"/>
  <c r="J88" i="105"/>
  <c r="K92" i="105"/>
  <c r="J92" i="105"/>
  <c r="K91" i="105"/>
  <c r="J91" i="105"/>
  <c r="K90" i="105"/>
  <c r="J90" i="105"/>
  <c r="K89" i="105"/>
  <c r="J89" i="105"/>
  <c r="K88" i="105"/>
  <c r="W78" i="105"/>
  <c r="W81" i="105"/>
  <c r="V81" i="105"/>
  <c r="V77" i="105"/>
  <c r="W80" i="105"/>
  <c r="V80" i="105"/>
  <c r="W79" i="105"/>
  <c r="V79" i="105"/>
  <c r="V78" i="105"/>
  <c r="X78" i="105" s="1"/>
  <c r="W77" i="105"/>
  <c r="K80" i="105"/>
  <c r="J78" i="105"/>
  <c r="J79" i="105"/>
  <c r="J80" i="105"/>
  <c r="K77" i="105"/>
  <c r="J77" i="105"/>
  <c r="E28" i="105"/>
  <c r="D19" i="105"/>
  <c r="E20" i="105"/>
  <c r="E21" i="105"/>
  <c r="E22" i="105"/>
  <c r="E23" i="105"/>
  <c r="E19" i="105"/>
  <c r="D20" i="105"/>
  <c r="D21" i="105"/>
  <c r="D22" i="105"/>
  <c r="D23" i="105"/>
  <c r="L102" i="105" l="1"/>
  <c r="X113" i="105"/>
  <c r="I16" i="3"/>
  <c r="X111" i="105"/>
  <c r="L101" i="105"/>
  <c r="X112" i="105"/>
  <c r="G15" i="27"/>
  <c r="T13" i="105"/>
  <c r="T22" i="105" s="1"/>
  <c r="L92" i="105"/>
  <c r="X81" i="105"/>
  <c r="L91" i="105"/>
  <c r="X80" i="105"/>
  <c r="X77" i="105"/>
  <c r="L89" i="105"/>
  <c r="L90" i="105"/>
  <c r="L88" i="105"/>
  <c r="X79" i="105"/>
  <c r="I15" i="27" l="1"/>
  <c r="H15" i="27"/>
  <c r="E47" i="96"/>
  <c r="F47" i="96"/>
  <c r="G47" i="96"/>
  <c r="H47" i="96"/>
  <c r="I47" i="96"/>
  <c r="J47" i="96"/>
  <c r="K47" i="96"/>
  <c r="L47" i="96"/>
  <c r="M47" i="96"/>
  <c r="N47" i="96"/>
  <c r="O47" i="96"/>
  <c r="E49" i="96"/>
  <c r="F49" i="96"/>
  <c r="G49" i="96"/>
  <c r="H49" i="96"/>
  <c r="I49" i="96"/>
  <c r="J49" i="96"/>
  <c r="K49" i="96"/>
  <c r="L49" i="96"/>
  <c r="M49" i="96"/>
  <c r="N49" i="96"/>
  <c r="O49" i="96"/>
  <c r="D49" i="96"/>
  <c r="D47" i="96"/>
  <c r="T60" i="96"/>
  <c r="G22" i="3"/>
  <c r="D22" i="3"/>
  <c r="C23" i="2"/>
  <c r="P34" i="96"/>
  <c r="P35" i="96"/>
  <c r="P36" i="96"/>
  <c r="P50" i="96"/>
  <c r="P47" i="96" l="1"/>
  <c r="F33" i="48"/>
  <c r="D33" i="48" s="1"/>
  <c r="J7" i="48"/>
  <c r="F16" i="48"/>
  <c r="D16" i="48" s="1"/>
  <c r="D20" i="48" s="1"/>
  <c r="F8" i="48"/>
  <c r="D8" i="48" s="1"/>
  <c r="D12" i="48" s="1"/>
  <c r="F24" i="48"/>
  <c r="D24" i="48" s="1"/>
  <c r="F41" i="48"/>
  <c r="D41" i="48" s="1"/>
  <c r="W18" i="96"/>
  <c r="W17" i="96"/>
  <c r="T20" i="127"/>
  <c r="R37" i="127"/>
  <c r="T37" i="127"/>
  <c r="T53" i="127"/>
  <c r="W16" i="96"/>
  <c r="T10" i="96"/>
  <c r="T11" i="96"/>
  <c r="T12" i="96"/>
  <c r="T13" i="96"/>
  <c r="T14" i="96"/>
  <c r="T15" i="96"/>
  <c r="T16" i="96"/>
  <c r="T17" i="96"/>
  <c r="T18" i="96"/>
  <c r="T19" i="96"/>
  <c r="T20" i="96"/>
  <c r="T21" i="96"/>
  <c r="T22" i="96"/>
  <c r="T23" i="96"/>
  <c r="T24" i="96"/>
  <c r="T25" i="96"/>
  <c r="T9" i="96"/>
  <c r="D20" i="82"/>
  <c r="D26" i="82"/>
  <c r="D19" i="82"/>
  <c r="E19" i="82" s="1"/>
  <c r="G23" i="105"/>
  <c r="F23" i="105"/>
  <c r="G22" i="105"/>
  <c r="F22" i="105"/>
  <c r="G21" i="105"/>
  <c r="F21" i="105"/>
  <c r="G20" i="105"/>
  <c r="F20" i="105"/>
  <c r="G19" i="105"/>
  <c r="F19" i="105"/>
  <c r="E47" i="82"/>
  <c r="E43" i="82"/>
  <c r="H20" i="105" l="1"/>
  <c r="W7" i="96"/>
  <c r="W9" i="96"/>
  <c r="W10" i="96"/>
  <c r="W8" i="96"/>
  <c r="H21" i="105"/>
  <c r="H22" i="105"/>
  <c r="H23" i="105"/>
  <c r="H19" i="105"/>
  <c r="G5" i="10"/>
  <c r="I5" i="10" s="1"/>
  <c r="D11" i="10" s="1"/>
  <c r="G6" i="10"/>
  <c r="F14" i="27"/>
  <c r="F17" i="27" s="1"/>
  <c r="G14" i="27"/>
  <c r="G17" i="27" s="1"/>
  <c r="H14" i="27"/>
  <c r="H17" i="27" s="1"/>
  <c r="I14" i="27"/>
  <c r="I17" i="27" s="1"/>
  <c r="E14" i="27"/>
  <c r="D14" i="27" s="1"/>
  <c r="C127" i="2"/>
  <c r="C122" i="2"/>
  <c r="I19" i="105" l="1"/>
  <c r="E17" i="27"/>
  <c r="I23" i="105"/>
  <c r="I22" i="105"/>
  <c r="I21" i="105"/>
  <c r="I20" i="105"/>
  <c r="V5" i="96" a="1"/>
  <c r="I6" i="10"/>
  <c r="D13" i="10" s="1"/>
  <c r="D16" i="10" s="1"/>
  <c r="E27" i="105"/>
  <c r="E8" i="26"/>
  <c r="E9" i="26" s="1"/>
  <c r="E23" i="82"/>
  <c r="C26" i="94"/>
  <c r="F27" i="60"/>
  <c r="G27" i="60"/>
  <c r="H27" i="60"/>
  <c r="I27" i="60"/>
  <c r="C119" i="2" l="1"/>
  <c r="V5" i="96"/>
  <c r="M37" i="96"/>
  <c r="N37" i="96"/>
  <c r="O37" i="96"/>
  <c r="E26" i="82"/>
  <c r="E28" i="82"/>
  <c r="E51" i="82"/>
  <c r="D50" i="82"/>
  <c r="D51" i="82" s="1"/>
  <c r="E25" i="82"/>
  <c r="E21" i="82"/>
  <c r="D40" i="82"/>
  <c r="D41" i="82"/>
  <c r="D6" i="46" l="1"/>
  <c r="C50" i="3"/>
  <c r="I16" i="105" l="1"/>
  <c r="F27" i="105" s="1"/>
  <c r="C7" i="50"/>
  <c r="D11" i="18" l="1"/>
  <c r="J20" i="105"/>
  <c r="K20" i="105" s="1"/>
  <c r="J23" i="105"/>
  <c r="K23" i="105" s="1"/>
  <c r="J21" i="105"/>
  <c r="K21" i="105" s="1"/>
  <c r="J22" i="105"/>
  <c r="K22" i="105" s="1"/>
  <c r="F28" i="105"/>
  <c r="J19" i="105"/>
  <c r="K19" i="105" s="1"/>
  <c r="K6" i="11" l="1"/>
  <c r="F6" i="11" s="1"/>
  <c r="N11" i="14" l="1"/>
  <c r="J11" i="14"/>
  <c r="K11" i="14"/>
  <c r="L11" i="14"/>
  <c r="M11" i="14"/>
  <c r="C13" i="116"/>
  <c r="C14" i="116" l="1"/>
  <c r="C15" i="116" s="1"/>
  <c r="C16" i="116" s="1"/>
  <c r="C17" i="116" s="1"/>
  <c r="C18" i="116" s="1"/>
  <c r="D15" i="31"/>
  <c r="E15" i="31" s="1"/>
  <c r="C87" i="2"/>
  <c r="C86" i="2"/>
  <c r="C96" i="2"/>
  <c r="O144" i="51"/>
  <c r="O149" i="51" s="1"/>
  <c r="F96" i="51"/>
  <c r="G96" i="51"/>
  <c r="O96" i="51" s="1"/>
  <c r="L96" i="51"/>
  <c r="F97" i="51"/>
  <c r="G97" i="51"/>
  <c r="L97" i="51"/>
  <c r="F98" i="51"/>
  <c r="O98" i="51" s="1"/>
  <c r="G98" i="51"/>
  <c r="L98" i="51"/>
  <c r="F99" i="51"/>
  <c r="G99" i="51"/>
  <c r="L99" i="51"/>
  <c r="F105" i="51"/>
  <c r="G105" i="51"/>
  <c r="L105" i="51"/>
  <c r="F106" i="51"/>
  <c r="G106" i="51"/>
  <c r="L106" i="51"/>
  <c r="F107" i="51"/>
  <c r="G107" i="51"/>
  <c r="L107" i="51"/>
  <c r="F108" i="51"/>
  <c r="G108" i="51"/>
  <c r="L108" i="51"/>
  <c r="F114" i="51"/>
  <c r="G114" i="51"/>
  <c r="L114" i="51"/>
  <c r="F115" i="51"/>
  <c r="G115" i="51"/>
  <c r="L115" i="51"/>
  <c r="F116" i="51"/>
  <c r="G116" i="51"/>
  <c r="L116" i="51"/>
  <c r="F117" i="51"/>
  <c r="G117" i="51"/>
  <c r="L117" i="51"/>
  <c r="F120" i="51"/>
  <c r="G120" i="51"/>
  <c r="I120" i="51"/>
  <c r="L120" i="51"/>
  <c r="F121" i="51"/>
  <c r="G121" i="51"/>
  <c r="I121" i="51"/>
  <c r="L121" i="51"/>
  <c r="F126" i="51"/>
  <c r="G126" i="51"/>
  <c r="L126" i="51"/>
  <c r="F127" i="51"/>
  <c r="G127" i="51"/>
  <c r="L127" i="51"/>
  <c r="F128" i="51"/>
  <c r="O128" i="51" s="1"/>
  <c r="G128" i="51"/>
  <c r="L128" i="51"/>
  <c r="F129" i="51"/>
  <c r="G129" i="51"/>
  <c r="L129" i="51"/>
  <c r="F131" i="51"/>
  <c r="G131" i="51"/>
  <c r="I131" i="51"/>
  <c r="L131" i="51"/>
  <c r="F132" i="51"/>
  <c r="G132" i="51"/>
  <c r="I132" i="51"/>
  <c r="L132" i="51"/>
  <c r="F133" i="51"/>
  <c r="G133" i="51"/>
  <c r="I133" i="51"/>
  <c r="L133" i="51"/>
  <c r="F134" i="51"/>
  <c r="G134" i="51"/>
  <c r="I134" i="51"/>
  <c r="L134" i="51"/>
  <c r="V88" i="105"/>
  <c r="V99" i="105"/>
  <c r="W88" i="105"/>
  <c r="W99" i="105"/>
  <c r="O126" i="51" l="1"/>
  <c r="O105" i="51"/>
  <c r="O99" i="51"/>
  <c r="E21" i="116"/>
  <c r="O134" i="51"/>
  <c r="O116" i="51"/>
  <c r="O115" i="51"/>
  <c r="O114" i="51"/>
  <c r="O117" i="51"/>
  <c r="O107" i="51"/>
  <c r="R236" i="127"/>
  <c r="O133" i="51"/>
  <c r="O121" i="51"/>
  <c r="O129" i="51"/>
  <c r="O97" i="51"/>
  <c r="O131" i="51"/>
  <c r="O127" i="51"/>
  <c r="O132" i="51"/>
  <c r="O120" i="51"/>
  <c r="O108" i="51"/>
  <c r="O106" i="51"/>
  <c r="D156" i="51"/>
  <c r="F156" i="51" s="1"/>
  <c r="G156" i="51" s="1"/>
  <c r="X99" i="105"/>
  <c r="X88" i="105"/>
  <c r="L79" i="105"/>
  <c r="L80" i="105"/>
  <c r="L77" i="105"/>
  <c r="L78" i="105"/>
  <c r="O100" i="51" l="1"/>
  <c r="O101" i="51" s="1"/>
  <c r="R15" i="127" s="1"/>
  <c r="O109" i="51"/>
  <c r="O110" i="51" s="1"/>
  <c r="R64" i="127" s="1"/>
  <c r="O118" i="51"/>
  <c r="O122" i="51" s="1"/>
  <c r="D154" i="51" s="1"/>
  <c r="F154" i="51" s="1"/>
  <c r="G154" i="51" s="1"/>
  <c r="O130" i="51"/>
  <c r="O135" i="51" s="1"/>
  <c r="R166" i="127" s="1"/>
  <c r="T236" i="127"/>
  <c r="D152" i="51" l="1"/>
  <c r="F152" i="51" s="1"/>
  <c r="G152" i="51" s="1"/>
  <c r="T15" i="127" s="1"/>
  <c r="D153" i="51"/>
  <c r="F153" i="51" s="1"/>
  <c r="G153" i="51" s="1"/>
  <c r="T64" i="127" s="1"/>
  <c r="R117" i="127"/>
  <c r="D155" i="51"/>
  <c r="F155" i="51" s="1"/>
  <c r="G155" i="51" s="1"/>
  <c r="T166" i="127" s="1"/>
  <c r="T117" i="127"/>
  <c r="E10" i="130" l="1"/>
  <c r="E11" i="130" s="1"/>
  <c r="E12" i="130" s="1"/>
  <c r="E13" i="130" s="1"/>
  <c r="E14" i="130" s="1"/>
  <c r="E15" i="130" s="1"/>
  <c r="G10" i="130"/>
  <c r="E13" i="60" l="1"/>
  <c r="E18" i="60" s="1"/>
  <c r="D7" i="26"/>
  <c r="D11" i="26" s="1"/>
  <c r="J43" i="86"/>
  <c r="J59" i="86"/>
  <c r="J27" i="86"/>
  <c r="J10" i="86"/>
  <c r="D58" i="86"/>
  <c r="D73" i="86"/>
  <c r="D72" i="86"/>
  <c r="D57" i="86"/>
  <c r="D56" i="86"/>
  <c r="D41" i="86"/>
  <c r="D25" i="86"/>
  <c r="D40" i="86"/>
  <c r="D9" i="86"/>
  <c r="C39" i="60" l="1"/>
  <c r="J39" i="60" s="1"/>
  <c r="D13" i="26"/>
  <c r="C70" i="31" s="1"/>
  <c r="D23" i="18" s="1"/>
  <c r="D20" i="26"/>
  <c r="F26" i="60"/>
  <c r="F7" i="60"/>
  <c r="P26" i="96"/>
  <c r="I39" i="60" l="1"/>
  <c r="C69" i="2"/>
  <c r="D26" i="3" s="1"/>
  <c r="P10" i="96"/>
  <c r="P12" i="96"/>
  <c r="D22" i="96"/>
  <c r="E22" i="96"/>
  <c r="F22" i="96"/>
  <c r="G22" i="96"/>
  <c r="H22" i="96"/>
  <c r="J22" i="96"/>
  <c r="K22" i="96"/>
  <c r="L22" i="96"/>
  <c r="M22" i="96"/>
  <c r="N22" i="96"/>
  <c r="O22" i="96"/>
  <c r="D23" i="96"/>
  <c r="E23" i="96"/>
  <c r="F23" i="96"/>
  <c r="G23" i="96"/>
  <c r="H23" i="96"/>
  <c r="I23" i="96"/>
  <c r="J23" i="96"/>
  <c r="K23" i="96"/>
  <c r="L23" i="96"/>
  <c r="M23" i="96"/>
  <c r="N23" i="96"/>
  <c r="O23" i="96"/>
  <c r="D74" i="86"/>
  <c r="D76" i="86"/>
  <c r="D77" i="86"/>
  <c r="D78" i="86"/>
  <c r="D79" i="86"/>
  <c r="D80" i="86"/>
  <c r="D81" i="86"/>
  <c r="D60" i="86"/>
  <c r="D61" i="86"/>
  <c r="D62" i="86"/>
  <c r="D63" i="86"/>
  <c r="D64" i="86"/>
  <c r="D65" i="86"/>
  <c r="D42" i="86"/>
  <c r="D44" i="86"/>
  <c r="D45" i="86"/>
  <c r="D46" i="86"/>
  <c r="D47" i="86"/>
  <c r="D48" i="86"/>
  <c r="D49" i="86"/>
  <c r="D24" i="86"/>
  <c r="D26" i="86"/>
  <c r="D28" i="86"/>
  <c r="D29" i="86"/>
  <c r="D30" i="86"/>
  <c r="D31" i="86"/>
  <c r="D32" i="86"/>
  <c r="D33" i="86"/>
  <c r="D16" i="86"/>
  <c r="D15" i="86"/>
  <c r="D14" i="86"/>
  <c r="D13" i="86"/>
  <c r="D12" i="86"/>
  <c r="D11" i="86"/>
  <c r="D8" i="86"/>
  <c r="C24" i="94"/>
  <c r="F17" i="94"/>
  <c r="G17" i="94" s="1"/>
  <c r="H17" i="94" s="1"/>
  <c r="I17" i="94" s="1"/>
  <c r="J17" i="94" s="1"/>
  <c r="K17" i="94" s="1"/>
  <c r="L17" i="94" s="1"/>
  <c r="M17" i="94" s="1"/>
  <c r="N17" i="94" s="1"/>
  <c r="O17" i="94" s="1"/>
  <c r="P17" i="94" s="1"/>
  <c r="C18" i="94"/>
  <c r="E18" i="94" s="1"/>
  <c r="D6" i="94" s="1"/>
  <c r="E39" i="2"/>
  <c r="D39" i="2"/>
  <c r="D16" i="31"/>
  <c r="D17" i="31"/>
  <c r="D18" i="31"/>
  <c r="F18" i="31" s="1"/>
  <c r="D20" i="31"/>
  <c r="D21" i="31"/>
  <c r="D22" i="31"/>
  <c r="D23" i="31"/>
  <c r="D24" i="31"/>
  <c r="D25" i="31"/>
  <c r="D26" i="31"/>
  <c r="D27" i="31"/>
  <c r="D28" i="31"/>
  <c r="D29" i="31"/>
  <c r="D30" i="31"/>
  <c r="D7" i="94" l="1"/>
  <c r="D8" i="94"/>
  <c r="D9" i="94"/>
  <c r="C20" i="96"/>
  <c r="N20" i="96" s="1"/>
  <c r="Z54" i="14"/>
  <c r="AA54" i="14"/>
  <c r="AB54" i="14"/>
  <c r="X54" i="14"/>
  <c r="Y54" i="14"/>
  <c r="F15" i="31"/>
  <c r="F30" i="31"/>
  <c r="E30" i="31"/>
  <c r="F29" i="31"/>
  <c r="E29" i="31"/>
  <c r="F27" i="31"/>
  <c r="E27" i="31"/>
  <c r="F26" i="31"/>
  <c r="E26" i="31"/>
  <c r="F25" i="31"/>
  <c r="E25" i="31"/>
  <c r="F24" i="31"/>
  <c r="E24" i="31"/>
  <c r="F23" i="31"/>
  <c r="E23" i="31"/>
  <c r="F22" i="31"/>
  <c r="E22" i="31"/>
  <c r="F21" i="31"/>
  <c r="E21" i="31"/>
  <c r="F20" i="31"/>
  <c r="E20" i="31"/>
  <c r="F19" i="31"/>
  <c r="E19" i="31"/>
  <c r="F17" i="31"/>
  <c r="E17" i="31"/>
  <c r="F16" i="31"/>
  <c r="E16" i="31"/>
  <c r="P23" i="96"/>
  <c r="F28" i="31"/>
  <c r="E28" i="31"/>
  <c r="E18" i="31"/>
  <c r="O20" i="96" l="1"/>
  <c r="C21" i="96"/>
  <c r="N21" i="96" s="1"/>
  <c r="M20" i="96"/>
  <c r="H28" i="31"/>
  <c r="J74" i="14" s="1"/>
  <c r="H15" i="31"/>
  <c r="C17" i="14" s="1"/>
  <c r="G15" i="31"/>
  <c r="C16" i="14" s="1"/>
  <c r="H16" i="31"/>
  <c r="G16" i="31"/>
  <c r="H17" i="31"/>
  <c r="G17" i="31"/>
  <c r="H19" i="31"/>
  <c r="G19" i="31"/>
  <c r="H20" i="31"/>
  <c r="G20" i="31"/>
  <c r="H21" i="31"/>
  <c r="G21" i="31"/>
  <c r="H22" i="31"/>
  <c r="G22" i="31"/>
  <c r="H23" i="31"/>
  <c r="G23" i="31"/>
  <c r="H24" i="31"/>
  <c r="J55" i="14" s="1"/>
  <c r="G24" i="31"/>
  <c r="H25" i="31"/>
  <c r="G25" i="31"/>
  <c r="H26" i="31"/>
  <c r="G26" i="31"/>
  <c r="H27" i="31"/>
  <c r="G27" i="31"/>
  <c r="H29" i="31"/>
  <c r="G29" i="31"/>
  <c r="H30" i="31"/>
  <c r="G30" i="31"/>
  <c r="G28" i="31"/>
  <c r="J73" i="14" s="1"/>
  <c r="H18" i="31"/>
  <c r="G18" i="31"/>
  <c r="C64" i="51"/>
  <c r="C68" i="51" s="1"/>
  <c r="R32" i="127" s="1"/>
  <c r="E64" i="51"/>
  <c r="E68" i="51" s="1"/>
  <c r="K74" i="14" l="1"/>
  <c r="L74" i="14"/>
  <c r="M74" i="14"/>
  <c r="O21" i="96"/>
  <c r="N74" i="14"/>
  <c r="X16" i="14"/>
  <c r="Y16" i="14"/>
  <c r="Z16" i="14"/>
  <c r="AA16" i="14"/>
  <c r="AB16" i="14"/>
  <c r="S54" i="14"/>
  <c r="U54" i="14"/>
  <c r="R54" i="14"/>
  <c r="T54" i="14"/>
  <c r="Q54" i="14"/>
  <c r="Y55" i="14"/>
  <c r="X55" i="14"/>
  <c r="AA55" i="14"/>
  <c r="Z55" i="14"/>
  <c r="AB55" i="14"/>
  <c r="R55" i="14"/>
  <c r="U55" i="14"/>
  <c r="Q55" i="14"/>
  <c r="S55" i="14"/>
  <c r="T55" i="14"/>
  <c r="R81" i="127"/>
  <c r="Y17" i="14"/>
  <c r="Z17" i="14"/>
  <c r="AA17" i="14"/>
  <c r="AB17" i="14"/>
  <c r="X17" i="14"/>
  <c r="K73" i="14"/>
  <c r="L73" i="14"/>
  <c r="M73" i="14"/>
  <c r="N73" i="14"/>
  <c r="Y73" i="14"/>
  <c r="Z73" i="14"/>
  <c r="AA73" i="14"/>
  <c r="AB73" i="14"/>
  <c r="X73" i="14"/>
  <c r="Y74" i="14"/>
  <c r="Z74" i="14"/>
  <c r="AA74" i="14"/>
  <c r="AB74" i="14"/>
  <c r="X74" i="14"/>
  <c r="R73" i="14"/>
  <c r="S73" i="14"/>
  <c r="T73" i="14"/>
  <c r="U73" i="14"/>
  <c r="Q73" i="14"/>
  <c r="R74" i="14"/>
  <c r="S74" i="14"/>
  <c r="T74" i="14"/>
  <c r="U74" i="14"/>
  <c r="Q74" i="14"/>
  <c r="D73" i="14"/>
  <c r="E73" i="14"/>
  <c r="F73" i="14"/>
  <c r="G73" i="14"/>
  <c r="C73" i="14"/>
  <c r="D74" i="14"/>
  <c r="E74" i="14"/>
  <c r="F74" i="14"/>
  <c r="G74" i="14"/>
  <c r="C74" i="14"/>
  <c r="K54" i="14"/>
  <c r="L54" i="14"/>
  <c r="M54" i="14"/>
  <c r="N54" i="14"/>
  <c r="J54" i="14"/>
  <c r="K55" i="14"/>
  <c r="L55" i="14"/>
  <c r="M55" i="14"/>
  <c r="N55" i="14"/>
  <c r="D54" i="14"/>
  <c r="E54" i="14"/>
  <c r="F54" i="14"/>
  <c r="G54" i="14"/>
  <c r="C54" i="14"/>
  <c r="D55" i="14"/>
  <c r="E55" i="14"/>
  <c r="F55" i="14"/>
  <c r="G55" i="14"/>
  <c r="C55" i="14"/>
  <c r="Y35" i="14"/>
  <c r="Z35" i="14"/>
  <c r="AA35" i="14"/>
  <c r="AB35" i="14"/>
  <c r="X35" i="14"/>
  <c r="Y36" i="14"/>
  <c r="Z36" i="14"/>
  <c r="AA36" i="14"/>
  <c r="AB36" i="14"/>
  <c r="X36" i="14"/>
  <c r="R35" i="14"/>
  <c r="S35" i="14"/>
  <c r="T35" i="14"/>
  <c r="U35" i="14"/>
  <c r="Q35" i="14"/>
  <c r="R36" i="14"/>
  <c r="S36" i="14"/>
  <c r="T36" i="14"/>
  <c r="U36" i="14"/>
  <c r="Q36" i="14"/>
  <c r="K35" i="14"/>
  <c r="L35" i="14"/>
  <c r="M35" i="14"/>
  <c r="N35" i="14"/>
  <c r="J35" i="14"/>
  <c r="K36" i="14"/>
  <c r="L36" i="14"/>
  <c r="M36" i="14"/>
  <c r="N36" i="14"/>
  <c r="J36" i="14"/>
  <c r="D35" i="14"/>
  <c r="E35" i="14"/>
  <c r="F35" i="14"/>
  <c r="G35" i="14"/>
  <c r="C35" i="14"/>
  <c r="D36" i="14"/>
  <c r="E36" i="14"/>
  <c r="F36" i="14"/>
  <c r="G36" i="14"/>
  <c r="C36" i="14"/>
  <c r="R16" i="14"/>
  <c r="S16" i="14"/>
  <c r="T16" i="14"/>
  <c r="U16" i="14"/>
  <c r="Q16" i="14"/>
  <c r="R17" i="14"/>
  <c r="S17" i="14"/>
  <c r="T17" i="14"/>
  <c r="U17" i="14"/>
  <c r="Q17" i="14"/>
  <c r="K16" i="14"/>
  <c r="L16" i="14"/>
  <c r="M16" i="14"/>
  <c r="N16" i="14"/>
  <c r="J16" i="14"/>
  <c r="K17" i="14"/>
  <c r="L17" i="14"/>
  <c r="M17" i="14"/>
  <c r="N17" i="14"/>
  <c r="J17" i="14"/>
  <c r="D16" i="14"/>
  <c r="E16" i="14"/>
  <c r="F16" i="14"/>
  <c r="G16" i="14"/>
  <c r="D17" i="14"/>
  <c r="E17" i="14"/>
  <c r="F17" i="14"/>
  <c r="G17" i="14"/>
  <c r="E70" i="51"/>
  <c r="E73" i="51" s="1"/>
  <c r="C70" i="51"/>
  <c r="C73" i="51" s="1"/>
  <c r="T81" i="127" l="1"/>
  <c r="T32" i="127"/>
  <c r="E7" i="26" l="1"/>
  <c r="F7" i="26"/>
  <c r="H7" i="26"/>
  <c r="H26" i="60" l="1"/>
  <c r="J26" i="60"/>
  <c r="G26" i="60"/>
  <c r="E11" i="26"/>
  <c r="J7" i="60"/>
  <c r="H7" i="60"/>
  <c r="G7" i="60"/>
  <c r="G7" i="26" l="1"/>
  <c r="I21" i="82"/>
  <c r="I32" i="82" s="1"/>
  <c r="F32" i="60"/>
  <c r="G32" i="60"/>
  <c r="H32" i="60"/>
  <c r="I32" i="60"/>
  <c r="J32" i="60"/>
  <c r="E32" i="60"/>
  <c r="J30" i="60"/>
  <c r="I30" i="60"/>
  <c r="H30" i="60"/>
  <c r="G30" i="60"/>
  <c r="F30" i="60"/>
  <c r="I28" i="60"/>
  <c r="H28" i="60"/>
  <c r="G28" i="60"/>
  <c r="F28" i="60"/>
  <c r="F31" i="60"/>
  <c r="C52" i="51"/>
  <c r="G37" i="33"/>
  <c r="I64" i="51"/>
  <c r="I68" i="51" s="1"/>
  <c r="G68" i="51"/>
  <c r="H110" i="2"/>
  <c r="G20" i="33"/>
  <c r="G51" i="33"/>
  <c r="G52" i="33"/>
  <c r="G43" i="33"/>
  <c r="G29" i="33"/>
  <c r="G42" i="33"/>
  <c r="G28" i="33"/>
  <c r="G18" i="33"/>
  <c r="G13" i="33"/>
  <c r="G12" i="33"/>
  <c r="G17" i="33"/>
  <c r="G16" i="33"/>
  <c r="G15" i="33"/>
  <c r="G6" i="33"/>
  <c r="F5" i="60"/>
  <c r="G5" i="60" s="1"/>
  <c r="H5" i="60" s="1"/>
  <c r="I5" i="60" s="1"/>
  <c r="V24" i="51"/>
  <c r="C13" i="51"/>
  <c r="R21" i="127" s="1"/>
  <c r="R45" i="127" s="1"/>
  <c r="E13" i="51"/>
  <c r="G13" i="51"/>
  <c r="I13" i="51"/>
  <c r="K13" i="51"/>
  <c r="E21" i="51"/>
  <c r="G21" i="51"/>
  <c r="K21" i="51"/>
  <c r="M21" i="51"/>
  <c r="Q21" i="51"/>
  <c r="S21" i="51"/>
  <c r="E22" i="51"/>
  <c r="K22" i="51"/>
  <c r="Q22" i="51"/>
  <c r="C26" i="51"/>
  <c r="G22" i="51" s="1"/>
  <c r="I26" i="51"/>
  <c r="M22" i="51" s="1"/>
  <c r="O26" i="51"/>
  <c r="S22" i="51" s="1"/>
  <c r="E54" i="51"/>
  <c r="C87" i="51"/>
  <c r="E181" i="51"/>
  <c r="D199" i="51"/>
  <c r="D200" i="51"/>
  <c r="R98" i="127" s="1"/>
  <c r="R103" i="127" s="1"/>
  <c r="D201" i="51"/>
  <c r="R148" i="127" s="1"/>
  <c r="R153" i="127" s="1"/>
  <c r="D202" i="51"/>
  <c r="R217" i="127" s="1"/>
  <c r="R222" i="127" s="1"/>
  <c r="D203" i="51"/>
  <c r="R288" i="127" s="1"/>
  <c r="R293" i="127" s="1"/>
  <c r="D54" i="2"/>
  <c r="N9" i="48"/>
  <c r="N10" i="48"/>
  <c r="N11" i="48"/>
  <c r="E54" i="2"/>
  <c r="N12" i="48"/>
  <c r="N15" i="48"/>
  <c r="N16" i="48"/>
  <c r="N17" i="48"/>
  <c r="N18" i="48"/>
  <c r="F54" i="2"/>
  <c r="N21" i="48"/>
  <c r="N22" i="48"/>
  <c r="N23" i="48"/>
  <c r="N24" i="48"/>
  <c r="N27" i="48"/>
  <c r="G54" i="2"/>
  <c r="N29" i="48"/>
  <c r="N30" i="48"/>
  <c r="H54" i="2"/>
  <c r="F8" i="26"/>
  <c r="I13" i="11"/>
  <c r="K13" i="11"/>
  <c r="I14" i="11"/>
  <c r="K14" i="11"/>
  <c r="I15" i="11"/>
  <c r="K15" i="11"/>
  <c r="I9" i="11"/>
  <c r="K9" i="11"/>
  <c r="I10" i="11"/>
  <c r="K10" i="11"/>
  <c r="I11" i="11"/>
  <c r="K11" i="11"/>
  <c r="I12" i="11"/>
  <c r="K12" i="11"/>
  <c r="I7" i="11"/>
  <c r="K7" i="11"/>
  <c r="I8" i="11"/>
  <c r="K8" i="11"/>
  <c r="I22" i="11"/>
  <c r="K22" i="11"/>
  <c r="I23" i="11"/>
  <c r="K23" i="11"/>
  <c r="I24" i="11"/>
  <c r="K24" i="11"/>
  <c r="I25" i="11"/>
  <c r="K25" i="11"/>
  <c r="F21" i="11"/>
  <c r="K20" i="11"/>
  <c r="E6" i="26"/>
  <c r="F6" i="26" s="1"/>
  <c r="G6" i="26" s="1"/>
  <c r="H6" i="26" s="1"/>
  <c r="M33" i="48" l="1"/>
  <c r="O33" i="48" s="1"/>
  <c r="E110" i="2"/>
  <c r="F65" i="33"/>
  <c r="D65" i="33"/>
  <c r="E65" i="33"/>
  <c r="F9" i="26"/>
  <c r="F11" i="26" s="1"/>
  <c r="R257" i="127"/>
  <c r="R48" i="127"/>
  <c r="R53" i="127" s="1"/>
  <c r="R187" i="127"/>
  <c r="R176" i="127"/>
  <c r="R246" i="127"/>
  <c r="R198" i="127"/>
  <c r="R268" i="127"/>
  <c r="G16" i="51"/>
  <c r="G17" i="51" s="1"/>
  <c r="R125" i="127"/>
  <c r="F12" i="11"/>
  <c r="I26" i="60"/>
  <c r="I7" i="60"/>
  <c r="E16" i="51"/>
  <c r="E17" i="51" s="1"/>
  <c r="R70" i="127"/>
  <c r="R95" i="127" s="1"/>
  <c r="R20" i="127"/>
  <c r="R46" i="127" s="1"/>
  <c r="C22" i="51"/>
  <c r="C23" i="51" s="1"/>
  <c r="G54" i="33"/>
  <c r="G7" i="33"/>
  <c r="G23" i="33" s="1"/>
  <c r="G53" i="33"/>
  <c r="G14" i="33"/>
  <c r="G8" i="33"/>
  <c r="G55" i="33"/>
  <c r="G44" i="33"/>
  <c r="G31" i="33"/>
  <c r="M34" i="48"/>
  <c r="O34" i="48" s="1"/>
  <c r="F25" i="11"/>
  <c r="F34" i="60"/>
  <c r="E8" i="73" s="1"/>
  <c r="G53" i="2"/>
  <c r="F53" i="2"/>
  <c r="E53" i="2"/>
  <c r="D53" i="2"/>
  <c r="H53" i="2"/>
  <c r="I41" i="82"/>
  <c r="D71" i="2"/>
  <c r="E14" i="3" s="1"/>
  <c r="F15" i="11"/>
  <c r="F8" i="11"/>
  <c r="F7" i="11"/>
  <c r="F13" i="11"/>
  <c r="M35" i="48"/>
  <c r="O35" i="48" s="1"/>
  <c r="F83" i="130"/>
  <c r="F154" i="130"/>
  <c r="K23" i="51"/>
  <c r="R165" i="127" s="1"/>
  <c r="E57" i="51"/>
  <c r="O22" i="51"/>
  <c r="O23" i="51" s="1"/>
  <c r="S23" i="51" s="1"/>
  <c r="S25" i="51" s="1"/>
  <c r="S235" i="127" s="1"/>
  <c r="C55" i="51"/>
  <c r="K16" i="51"/>
  <c r="K17" i="51" s="1"/>
  <c r="C16" i="51"/>
  <c r="C17" i="51" s="1"/>
  <c r="G31" i="73"/>
  <c r="G7" i="73" s="1"/>
  <c r="G8" i="26"/>
  <c r="G9" i="26" s="1"/>
  <c r="E31" i="60"/>
  <c r="E34" i="60" s="1"/>
  <c r="C8" i="133" s="1"/>
  <c r="E22" i="60"/>
  <c r="F119" i="130"/>
  <c r="F24" i="11"/>
  <c r="F11" i="11"/>
  <c r="F9" i="11"/>
  <c r="F22" i="11"/>
  <c r="F20" i="11"/>
  <c r="F23" i="11"/>
  <c r="F14" i="11"/>
  <c r="F10" i="11"/>
  <c r="G70" i="51"/>
  <c r="G73" i="51" s="1"/>
  <c r="I70" i="51"/>
  <c r="I73" i="51" s="1"/>
  <c r="Q23" i="51"/>
  <c r="R235" i="127" s="1"/>
  <c r="E23" i="51"/>
  <c r="I16" i="51"/>
  <c r="I17" i="51" s="1"/>
  <c r="I22" i="51"/>
  <c r="I23" i="51" s="1"/>
  <c r="C10" i="2" l="1"/>
  <c r="G65" i="33"/>
  <c r="R214" i="127"/>
  <c r="R175" i="127" s="1"/>
  <c r="I9" i="48"/>
  <c r="I10" i="48" s="1"/>
  <c r="F36" i="48" s="1"/>
  <c r="B63" i="33"/>
  <c r="C63" i="33"/>
  <c r="D63" i="33"/>
  <c r="E63" i="33"/>
  <c r="F63" i="33"/>
  <c r="D110" i="2"/>
  <c r="D64" i="33"/>
  <c r="E64" i="33"/>
  <c r="F64" i="33"/>
  <c r="C64" i="33"/>
  <c r="H39" i="60"/>
  <c r="G39" i="60"/>
  <c r="D8" i="73"/>
  <c r="F39" i="60"/>
  <c r="F44" i="60" s="1"/>
  <c r="G11" i="26"/>
  <c r="C79" i="2"/>
  <c r="R54" i="127"/>
  <c r="C24" i="2" s="1"/>
  <c r="C26" i="2" s="1"/>
  <c r="T257" i="127"/>
  <c r="T187" i="127"/>
  <c r="R285" i="127"/>
  <c r="R245" i="127" s="1"/>
  <c r="R286" i="127" s="1"/>
  <c r="R294" i="127" s="1"/>
  <c r="H72" i="2" s="1"/>
  <c r="R116" i="127"/>
  <c r="R145" i="127" s="1"/>
  <c r="R124" i="127" s="1"/>
  <c r="R146" i="127" s="1"/>
  <c r="R154" i="127" s="1"/>
  <c r="T176" i="127"/>
  <c r="T246" i="127"/>
  <c r="T198" i="127"/>
  <c r="T268" i="127"/>
  <c r="T125" i="127"/>
  <c r="T70" i="127"/>
  <c r="F13" i="130"/>
  <c r="Q49" i="14"/>
  <c r="S49" i="14"/>
  <c r="R49" i="14"/>
  <c r="T49" i="14"/>
  <c r="U49" i="14"/>
  <c r="S68" i="14"/>
  <c r="T68" i="14"/>
  <c r="U68" i="14"/>
  <c r="Q68" i="14"/>
  <c r="R68" i="14"/>
  <c r="D68" i="14"/>
  <c r="F68" i="14"/>
  <c r="E68" i="14"/>
  <c r="G68" i="14"/>
  <c r="C68" i="14"/>
  <c r="L68" i="14"/>
  <c r="M68" i="14"/>
  <c r="N68" i="14"/>
  <c r="J68" i="14"/>
  <c r="K68" i="14"/>
  <c r="Q11" i="14"/>
  <c r="R11" i="14"/>
  <c r="T11" i="14"/>
  <c r="S11" i="14"/>
  <c r="U11" i="14"/>
  <c r="E11" i="14"/>
  <c r="F11" i="14"/>
  <c r="G11" i="14"/>
  <c r="C11" i="14"/>
  <c r="D11" i="14"/>
  <c r="K30" i="14"/>
  <c r="L30" i="14"/>
  <c r="N30" i="14"/>
  <c r="M30" i="14"/>
  <c r="J30" i="14"/>
  <c r="Z49" i="14"/>
  <c r="AA49" i="14"/>
  <c r="AB49" i="14"/>
  <c r="X49" i="14"/>
  <c r="Y49" i="14"/>
  <c r="AA11" i="14"/>
  <c r="AB11" i="14"/>
  <c r="X11" i="14"/>
  <c r="Y11" i="14"/>
  <c r="Z11" i="14"/>
  <c r="C49" i="14"/>
  <c r="D49" i="14"/>
  <c r="E49" i="14"/>
  <c r="F49" i="14"/>
  <c r="G49" i="14"/>
  <c r="Y30" i="14"/>
  <c r="Z30" i="14"/>
  <c r="AA30" i="14"/>
  <c r="AB30" i="14"/>
  <c r="X30" i="14"/>
  <c r="Q30" i="14"/>
  <c r="S30" i="14"/>
  <c r="R30" i="14"/>
  <c r="T30" i="14"/>
  <c r="U30" i="14"/>
  <c r="AB68" i="14"/>
  <c r="X68" i="14"/>
  <c r="Y68" i="14"/>
  <c r="Z68" i="14"/>
  <c r="AA68" i="14"/>
  <c r="G30" i="14"/>
  <c r="C30" i="14"/>
  <c r="D30" i="14"/>
  <c r="E30" i="14"/>
  <c r="F30" i="14"/>
  <c r="K49" i="14"/>
  <c r="L49" i="14"/>
  <c r="M49" i="14"/>
  <c r="N49" i="14"/>
  <c r="J49" i="14"/>
  <c r="D27" i="82"/>
  <c r="D29" i="82" s="1"/>
  <c r="I31" i="82" s="1"/>
  <c r="F26" i="11"/>
  <c r="F16" i="11"/>
  <c r="C78" i="2"/>
  <c r="D16" i="4" s="1"/>
  <c r="T21" i="127"/>
  <c r="T46" i="127" s="1"/>
  <c r="T54" i="127" s="1"/>
  <c r="G41" i="33"/>
  <c r="G46" i="33" s="1"/>
  <c r="G50" i="33"/>
  <c r="G58" i="33" s="1"/>
  <c r="D14" i="3"/>
  <c r="F35" i="48"/>
  <c r="G23" i="51"/>
  <c r="G25" i="51" s="1"/>
  <c r="C27" i="51"/>
  <c r="C29" i="51" s="1"/>
  <c r="F15" i="60"/>
  <c r="F36" i="73"/>
  <c r="G20" i="60" s="1"/>
  <c r="G31" i="60"/>
  <c r="G34" i="60" s="1"/>
  <c r="F8" i="73" s="1"/>
  <c r="O27" i="51"/>
  <c r="O29" i="51" s="1"/>
  <c r="H23" i="73"/>
  <c r="H31" i="73" s="1"/>
  <c r="H7" i="73" s="1"/>
  <c r="H8" i="26"/>
  <c r="F13" i="48"/>
  <c r="M23" i="51"/>
  <c r="M25" i="51" s="1"/>
  <c r="S165" i="127" s="1"/>
  <c r="I27" i="51"/>
  <c r="I29" i="51" s="1"/>
  <c r="F44" i="48" l="1"/>
  <c r="J10" i="48"/>
  <c r="F43" i="48"/>
  <c r="F26" i="48"/>
  <c r="D43" i="48"/>
  <c r="D45" i="48" s="1"/>
  <c r="D35" i="48"/>
  <c r="G55" i="2" s="1"/>
  <c r="D26" i="48"/>
  <c r="D28" i="48" s="1"/>
  <c r="F15" i="46" s="1"/>
  <c r="D36" i="48"/>
  <c r="G56" i="2" s="1"/>
  <c r="J9" i="48"/>
  <c r="J11" i="48" s="1"/>
  <c r="F8" i="50"/>
  <c r="G8" i="50"/>
  <c r="D8" i="50"/>
  <c r="D7" i="50" s="1"/>
  <c r="E7" i="46"/>
  <c r="E6" i="46" s="1"/>
  <c r="E8" i="50"/>
  <c r="G64" i="33"/>
  <c r="B68" i="33"/>
  <c r="G63" i="33"/>
  <c r="D68" i="33"/>
  <c r="G110" i="2"/>
  <c r="F67" i="33"/>
  <c r="G67" i="33" s="1"/>
  <c r="C68" i="33"/>
  <c r="F110" i="2"/>
  <c r="F66" i="33"/>
  <c r="E66" i="33"/>
  <c r="C11" i="133"/>
  <c r="D12" i="73"/>
  <c r="E27" i="82"/>
  <c r="F69" i="31"/>
  <c r="G22" i="18" s="1"/>
  <c r="C69" i="31"/>
  <c r="G69" i="31"/>
  <c r="H22" i="18" s="1"/>
  <c r="D69" i="31"/>
  <c r="E22" i="18" s="1"/>
  <c r="G56" i="130" s="1"/>
  <c r="E69" i="31"/>
  <c r="F22" i="18" s="1"/>
  <c r="H9" i="26"/>
  <c r="H11" i="26" s="1"/>
  <c r="C10" i="50"/>
  <c r="D13" i="18"/>
  <c r="R215" i="127"/>
  <c r="R223" i="127" s="1"/>
  <c r="C9" i="50"/>
  <c r="D12" i="18" s="1"/>
  <c r="D9" i="18"/>
  <c r="D14" i="46"/>
  <c r="F8" i="127"/>
  <c r="D12" i="46" s="1"/>
  <c r="D72" i="2"/>
  <c r="T204" i="127"/>
  <c r="T275" i="127"/>
  <c r="J8" i="127"/>
  <c r="H12" i="46" s="1"/>
  <c r="H8" i="127"/>
  <c r="F12" i="46" s="1"/>
  <c r="F72" i="2"/>
  <c r="F22" i="60"/>
  <c r="D79" i="2" s="1"/>
  <c r="E21" i="3" s="1"/>
  <c r="G22" i="60"/>
  <c r="E79" i="2" s="1"/>
  <c r="S116" i="127"/>
  <c r="E19" i="3"/>
  <c r="F7" i="127"/>
  <c r="D11" i="46" s="1"/>
  <c r="F71" i="2"/>
  <c r="G14" i="3" s="1"/>
  <c r="C77" i="2"/>
  <c r="C81" i="2" s="1"/>
  <c r="G15" i="60"/>
  <c r="G18" i="60" s="1"/>
  <c r="H56" i="2"/>
  <c r="F18" i="60"/>
  <c r="E71" i="2"/>
  <c r="F14" i="3" s="1"/>
  <c r="I23" i="73"/>
  <c r="I31" i="73" s="1"/>
  <c r="I7" i="73" s="1"/>
  <c r="H31" i="60"/>
  <c r="H34" i="60" s="1"/>
  <c r="G8" i="73" s="1"/>
  <c r="F18" i="94"/>
  <c r="G18" i="94"/>
  <c r="H18" i="94"/>
  <c r="I18" i="94"/>
  <c r="J18" i="94"/>
  <c r="K18" i="94"/>
  <c r="L18" i="94"/>
  <c r="M18" i="94"/>
  <c r="N18" i="94"/>
  <c r="O18" i="94"/>
  <c r="P18" i="94"/>
  <c r="F29" i="48"/>
  <c r="F21" i="48"/>
  <c r="F38" i="48"/>
  <c r="F55" i="2" l="1"/>
  <c r="D37" i="48"/>
  <c r="G15" i="46" s="1"/>
  <c r="H55" i="2"/>
  <c r="E7" i="50"/>
  <c r="F11" i="18" s="1"/>
  <c r="E11" i="18"/>
  <c r="T90" i="127"/>
  <c r="T96" i="127" s="1"/>
  <c r="T104" i="127" s="1"/>
  <c r="E68" i="33"/>
  <c r="G66" i="33"/>
  <c r="F68" i="33"/>
  <c r="C40" i="60"/>
  <c r="J40" i="60" s="1"/>
  <c r="C41" i="60"/>
  <c r="H41" i="60" s="1"/>
  <c r="D22" i="18"/>
  <c r="G21" i="130" s="1"/>
  <c r="C61" i="2"/>
  <c r="D16" i="18"/>
  <c r="J40" i="82" s="1"/>
  <c r="J42" i="82" s="1"/>
  <c r="I8" i="127"/>
  <c r="G12" i="46" s="1"/>
  <c r="G72" i="2"/>
  <c r="F9" i="50"/>
  <c r="G12" i="18" s="1"/>
  <c r="G9" i="18"/>
  <c r="G14" i="46"/>
  <c r="D9" i="50"/>
  <c r="E12" i="18" s="1"/>
  <c r="E9" i="18"/>
  <c r="E14" i="46"/>
  <c r="D16" i="50"/>
  <c r="D42" i="31" s="1"/>
  <c r="E15" i="46"/>
  <c r="E9" i="50"/>
  <c r="F12" i="18" s="1"/>
  <c r="F9" i="18"/>
  <c r="F14" i="46"/>
  <c r="D57" i="2"/>
  <c r="D52" i="2" s="1"/>
  <c r="D15" i="46"/>
  <c r="E57" i="2"/>
  <c r="E52" i="2" s="1"/>
  <c r="G8" i="130"/>
  <c r="E8" i="130"/>
  <c r="E17" i="130" s="1"/>
  <c r="E18" i="130" s="1"/>
  <c r="H7" i="46"/>
  <c r="G7" i="46"/>
  <c r="F7" i="46"/>
  <c r="F6" i="46" s="1"/>
  <c r="F12" i="130"/>
  <c r="D78" i="2"/>
  <c r="E78" i="2"/>
  <c r="F20" i="3" s="1"/>
  <c r="D18" i="4"/>
  <c r="D5" i="5" s="1"/>
  <c r="G20" i="88"/>
  <c r="D15" i="3"/>
  <c r="E16" i="50"/>
  <c r="E42" i="31" s="1"/>
  <c r="F57" i="2"/>
  <c r="C50" i="87" s="1"/>
  <c r="C16" i="50"/>
  <c r="C42" i="31" s="1"/>
  <c r="G36" i="73"/>
  <c r="G127" i="130"/>
  <c r="G36" i="88"/>
  <c r="G91" i="130"/>
  <c r="G28" i="88"/>
  <c r="G44" i="88"/>
  <c r="G162" i="130"/>
  <c r="G57" i="2" l="1"/>
  <c r="F16" i="50"/>
  <c r="F42" i="31" s="1"/>
  <c r="F7" i="50"/>
  <c r="T209" i="127" s="1"/>
  <c r="G6" i="46"/>
  <c r="H6" i="46" s="1"/>
  <c r="T140" i="127"/>
  <c r="E13" i="18"/>
  <c r="F47" i="130" s="1"/>
  <c r="G7" i="127"/>
  <c r="E11" i="46" s="1"/>
  <c r="D10" i="50"/>
  <c r="G68" i="33"/>
  <c r="I40" i="60"/>
  <c r="H40" i="60"/>
  <c r="H44" i="60" s="1"/>
  <c r="G40" i="60"/>
  <c r="G44" i="60" s="1"/>
  <c r="J41" i="60"/>
  <c r="I41" i="60"/>
  <c r="C31" i="87"/>
  <c r="D18" i="18"/>
  <c r="D19" i="18" s="1"/>
  <c r="D33" i="18" s="1"/>
  <c r="F18" i="18"/>
  <c r="F19" i="18" s="1"/>
  <c r="F30" i="18" s="1"/>
  <c r="E18" i="18"/>
  <c r="E19" i="18" s="1"/>
  <c r="F81" i="130"/>
  <c r="F46" i="130"/>
  <c r="C13" i="87"/>
  <c r="H15" i="60"/>
  <c r="H20" i="60"/>
  <c r="G114" i="130"/>
  <c r="E114" i="130"/>
  <c r="F11" i="130"/>
  <c r="G11" i="130" s="1"/>
  <c r="G12" i="130" s="1"/>
  <c r="G13" i="130" s="1"/>
  <c r="G14" i="130" s="1"/>
  <c r="G15" i="130" s="1"/>
  <c r="E28" i="130"/>
  <c r="E20" i="130"/>
  <c r="E32" i="130"/>
  <c r="E30" i="130"/>
  <c r="E33" i="130" s="1"/>
  <c r="E29" i="130"/>
  <c r="E78" i="130"/>
  <c r="G78" i="130"/>
  <c r="G43" i="130"/>
  <c r="E43" i="130"/>
  <c r="E20" i="3"/>
  <c r="F12" i="5"/>
  <c r="G11" i="88"/>
  <c r="E12" i="5"/>
  <c r="E16" i="4"/>
  <c r="I17" i="3"/>
  <c r="G71" i="2"/>
  <c r="H14" i="3" s="1"/>
  <c r="H71" i="2"/>
  <c r="I14" i="3" s="1"/>
  <c r="J31" i="60"/>
  <c r="J34" i="60" s="1"/>
  <c r="I8" i="73" s="1"/>
  <c r="F52" i="2"/>
  <c r="F117" i="130"/>
  <c r="C69" i="87"/>
  <c r="G52" i="2"/>
  <c r="D77" i="2"/>
  <c r="E15" i="3" s="1"/>
  <c r="G18" i="18" l="1"/>
  <c r="G19" i="18" s="1"/>
  <c r="G52" i="130"/>
  <c r="F52" i="130" s="1"/>
  <c r="G7" i="50"/>
  <c r="H11" i="18" s="1"/>
  <c r="G11" i="18"/>
  <c r="E16" i="18"/>
  <c r="E33" i="18" s="1"/>
  <c r="G67" i="130" s="1"/>
  <c r="G17" i="130"/>
  <c r="F17" i="130" s="1"/>
  <c r="F29" i="18"/>
  <c r="D30" i="18"/>
  <c r="G29" i="130" s="1"/>
  <c r="D29" i="18"/>
  <c r="G28" i="130" s="1"/>
  <c r="F19" i="3"/>
  <c r="G19" i="3" s="1"/>
  <c r="E17" i="4"/>
  <c r="G29" i="18"/>
  <c r="G30" i="18"/>
  <c r="E29" i="18"/>
  <c r="G63" i="130" s="1"/>
  <c r="E30" i="18"/>
  <c r="G64" i="130" s="1"/>
  <c r="G53" i="130"/>
  <c r="C31" i="51"/>
  <c r="C32" i="51" s="1"/>
  <c r="E34" i="130"/>
  <c r="E21" i="130"/>
  <c r="E24" i="130"/>
  <c r="E22" i="130"/>
  <c r="E23" i="130"/>
  <c r="G88" i="130"/>
  <c r="G87" i="130"/>
  <c r="F87" i="130" s="1"/>
  <c r="E123" i="130"/>
  <c r="E124" i="130" s="1"/>
  <c r="E87" i="130"/>
  <c r="E88" i="130" s="1"/>
  <c r="G124" i="130"/>
  <c r="G123" i="130"/>
  <c r="F123" i="130" s="1"/>
  <c r="E52" i="130"/>
  <c r="E53" i="130" s="1"/>
  <c r="G18" i="130"/>
  <c r="H18" i="60"/>
  <c r="H22" i="60"/>
  <c r="F79" i="2" s="1"/>
  <c r="F16" i="4"/>
  <c r="H36" i="73"/>
  <c r="I31" i="60"/>
  <c r="I34" i="60" s="1"/>
  <c r="H8" i="73" s="1"/>
  <c r="I36" i="73"/>
  <c r="J20" i="60" s="1"/>
  <c r="T280" i="127" l="1"/>
  <c r="F28" i="130"/>
  <c r="C42" i="60"/>
  <c r="F78" i="2"/>
  <c r="G20" i="3" s="1"/>
  <c r="H19" i="3" s="1"/>
  <c r="F29" i="130"/>
  <c r="I20" i="60"/>
  <c r="I22" i="60" s="1"/>
  <c r="G79" i="2" s="1"/>
  <c r="I15" i="60"/>
  <c r="G134" i="130"/>
  <c r="F134" i="130" s="1"/>
  <c r="O31" i="51"/>
  <c r="I31" i="51"/>
  <c r="I32" i="51" s="1"/>
  <c r="T165" i="127" s="1"/>
  <c r="T215" i="127" s="1"/>
  <c r="T223" i="127" s="1"/>
  <c r="G13" i="18" s="1"/>
  <c r="G16" i="18" s="1"/>
  <c r="G33" i="18" s="1"/>
  <c r="T116" i="127"/>
  <c r="T146" i="127" s="1"/>
  <c r="T154" i="127" s="1"/>
  <c r="F13" i="18" s="1"/>
  <c r="F16" i="18" s="1"/>
  <c r="F33" i="18" s="1"/>
  <c r="G135" i="130"/>
  <c r="F135" i="130" s="1"/>
  <c r="E135" i="130"/>
  <c r="E136" i="130"/>
  <c r="E134" i="130"/>
  <c r="E126" i="130"/>
  <c r="E65" i="130"/>
  <c r="E64" i="130"/>
  <c r="E55" i="130"/>
  <c r="E63" i="130"/>
  <c r="E90" i="130"/>
  <c r="E99" i="130"/>
  <c r="E100" i="130"/>
  <c r="E98" i="130"/>
  <c r="G98" i="130"/>
  <c r="F98" i="130" s="1"/>
  <c r="G99" i="130"/>
  <c r="F99" i="130" s="1"/>
  <c r="J22" i="60"/>
  <c r="G12" i="5"/>
  <c r="G16" i="4"/>
  <c r="J15" i="60"/>
  <c r="J18" i="60" s="1"/>
  <c r="H79" i="2" l="1"/>
  <c r="I21" i="3" s="1"/>
  <c r="I42" i="60"/>
  <c r="I44" i="60" s="1"/>
  <c r="J42" i="60"/>
  <c r="H78" i="2"/>
  <c r="I20" i="3" s="1"/>
  <c r="I7" i="127"/>
  <c r="G11" i="46" s="1"/>
  <c r="F10" i="50"/>
  <c r="F82" i="130"/>
  <c r="H7" i="127"/>
  <c r="F11" i="46" s="1"/>
  <c r="E10" i="50"/>
  <c r="F63" i="130"/>
  <c r="F64" i="130"/>
  <c r="E127" i="130"/>
  <c r="E129" i="130"/>
  <c r="E130" i="130"/>
  <c r="E128" i="130"/>
  <c r="E94" i="130"/>
  <c r="E91" i="130"/>
  <c r="E93" i="130"/>
  <c r="E92" i="130"/>
  <c r="E59" i="130"/>
  <c r="E57" i="130"/>
  <c r="E56" i="130"/>
  <c r="E58" i="130"/>
  <c r="F21" i="3"/>
  <c r="G21" i="3"/>
  <c r="G9" i="5" s="1"/>
  <c r="H21" i="3"/>
  <c r="I18" i="60"/>
  <c r="D61" i="2"/>
  <c r="G22" i="130"/>
  <c r="C43" i="60" l="1"/>
  <c r="F9" i="5"/>
  <c r="E18" i="4"/>
  <c r="E9" i="5"/>
  <c r="G78" i="2"/>
  <c r="H20" i="3" s="1"/>
  <c r="J21" i="96"/>
  <c r="H12" i="5"/>
  <c r="H16" i="4"/>
  <c r="F21" i="96"/>
  <c r="G21" i="96"/>
  <c r="D21" i="96"/>
  <c r="E21" i="96"/>
  <c r="M21" i="96"/>
  <c r="L21" i="96"/>
  <c r="I21" i="96"/>
  <c r="H21" i="96"/>
  <c r="K21" i="96"/>
  <c r="E77" i="2"/>
  <c r="F15" i="3" s="1"/>
  <c r="J43" i="60" l="1"/>
  <c r="J44" i="60" s="1"/>
  <c r="K44" i="60" s="1"/>
  <c r="H68" i="33" s="1"/>
  <c r="F17" i="4"/>
  <c r="H9" i="5"/>
  <c r="I12" i="5"/>
  <c r="I16" i="4"/>
  <c r="F18" i="4" l="1"/>
  <c r="G17" i="4"/>
  <c r="I19" i="3"/>
  <c r="K24" i="86"/>
  <c r="G18" i="4" l="1"/>
  <c r="H17" i="4"/>
  <c r="H18" i="4" s="1"/>
  <c r="I9" i="5"/>
  <c r="F77" i="2"/>
  <c r="G15" i="3" s="1"/>
  <c r="I17" i="4" l="1"/>
  <c r="J17" i="4" s="1"/>
  <c r="G77" i="2"/>
  <c r="I18" i="4" l="1"/>
  <c r="H15" i="3"/>
  <c r="F46" i="48" l="1"/>
  <c r="H57" i="2" l="1"/>
  <c r="C88" i="87" s="1"/>
  <c r="H15" i="46"/>
  <c r="G9" i="50"/>
  <c r="H12" i="18" s="1"/>
  <c r="F152" i="130" s="1"/>
  <c r="H9" i="18"/>
  <c r="H14" i="46"/>
  <c r="G16" i="50"/>
  <c r="G42" i="31" s="1"/>
  <c r="H18" i="18" l="1"/>
  <c r="H19" i="18" s="1"/>
  <c r="G149" i="130"/>
  <c r="E149" i="130"/>
  <c r="E158" i="130" s="1"/>
  <c r="E159" i="130" s="1"/>
  <c r="H52" i="2"/>
  <c r="H29" i="18" l="1"/>
  <c r="H30" i="18"/>
  <c r="G159" i="130"/>
  <c r="G158" i="130"/>
  <c r="F158" i="130" s="1"/>
  <c r="E161" i="130"/>
  <c r="E169" i="130"/>
  <c r="E170" i="130"/>
  <c r="E171" i="130"/>
  <c r="G169" i="130"/>
  <c r="H77" i="2"/>
  <c r="I15" i="3" s="1"/>
  <c r="F169" i="130" l="1"/>
  <c r="G170" i="130"/>
  <c r="F170" i="130" s="1"/>
  <c r="E165" i="130"/>
  <c r="E163" i="130"/>
  <c r="E164" i="130"/>
  <c r="E162" i="130"/>
  <c r="K7" i="86"/>
  <c r="E24" i="94" l="1"/>
  <c r="G9" i="94" l="1"/>
  <c r="G8" i="94"/>
  <c r="G6" i="94"/>
  <c r="G7" i="94"/>
  <c r="J26" i="94"/>
  <c r="F22" i="94"/>
  <c r="G22" i="94" s="1"/>
  <c r="H22" i="94" s="1"/>
  <c r="I22" i="94" s="1"/>
  <c r="J22" i="94" s="1"/>
  <c r="K22" i="94" s="1"/>
  <c r="L22" i="94" s="1"/>
  <c r="M22" i="94" s="1"/>
  <c r="N22" i="94" s="1"/>
  <c r="O22" i="94" s="1"/>
  <c r="P22" i="94" s="1"/>
  <c r="F12" i="26"/>
  <c r="F13" i="26" s="1"/>
  <c r="F24" i="94"/>
  <c r="G24" i="94" s="1"/>
  <c r="H24" i="94" s="1"/>
  <c r="I24" i="94" s="1"/>
  <c r="J24" i="94" s="1"/>
  <c r="K24" i="94" s="1"/>
  <c r="L24" i="94" s="1"/>
  <c r="M24" i="94" s="1"/>
  <c r="N24" i="94" s="1"/>
  <c r="O24" i="94" s="1"/>
  <c r="P24" i="94" s="1"/>
  <c r="G12" i="26"/>
  <c r="G13" i="26" s="1"/>
  <c r="G20" i="94"/>
  <c r="D21" i="26"/>
  <c r="D22" i="26" s="1"/>
  <c r="E70" i="31" l="1"/>
  <c r="F23" i="18" s="1"/>
  <c r="G92" i="130" s="1"/>
  <c r="F70" i="31"/>
  <c r="G23" i="18" s="1"/>
  <c r="G128" i="130" s="1"/>
  <c r="G26" i="94"/>
  <c r="H12" i="26"/>
  <c r="H13" i="26" s="1"/>
  <c r="G30" i="94"/>
  <c r="F26" i="94"/>
  <c r="E26" i="94"/>
  <c r="H6" i="94" s="1"/>
  <c r="L26" i="94"/>
  <c r="O26" i="94"/>
  <c r="H26" i="94"/>
  <c r="I26" i="94"/>
  <c r="K26" i="94"/>
  <c r="M26" i="94"/>
  <c r="N26" i="94"/>
  <c r="P26" i="94"/>
  <c r="E13" i="26"/>
  <c r="D70" i="31" s="1"/>
  <c r="E20" i="94"/>
  <c r="O20" i="94"/>
  <c r="K20" i="94"/>
  <c r="P20" i="94"/>
  <c r="L20" i="94"/>
  <c r="F20" i="94"/>
  <c r="I20" i="94"/>
  <c r="M20" i="94"/>
  <c r="N20" i="94"/>
  <c r="J20" i="94"/>
  <c r="H20" i="94"/>
  <c r="G31" i="94" l="1"/>
  <c r="G32" i="94"/>
  <c r="F61" i="2"/>
  <c r="G61" i="2"/>
  <c r="H9" i="94"/>
  <c r="C44" i="96"/>
  <c r="M44" i="96" s="1"/>
  <c r="G70" i="31"/>
  <c r="H23" i="18" s="1"/>
  <c r="G163" i="130" s="1"/>
  <c r="H8" i="94"/>
  <c r="E23" i="18"/>
  <c r="G57" i="130" s="1"/>
  <c r="K33" i="96"/>
  <c r="J33" i="96"/>
  <c r="I33" i="96"/>
  <c r="E33" i="96"/>
  <c r="H33" i="96"/>
  <c r="G33" i="96"/>
  <c r="L33" i="96"/>
  <c r="F33" i="96"/>
  <c r="H7" i="94"/>
  <c r="E9" i="94"/>
  <c r="E8" i="94"/>
  <c r="E6" i="94"/>
  <c r="E7" i="94"/>
  <c r="H61" i="2" l="1"/>
  <c r="D44" i="96"/>
  <c r="C46" i="96"/>
  <c r="G46" i="96" s="1"/>
  <c r="I44" i="96"/>
  <c r="C45" i="96"/>
  <c r="L45" i="96" s="1"/>
  <c r="J44" i="96"/>
  <c r="O44" i="96"/>
  <c r="K44" i="96"/>
  <c r="N44" i="96"/>
  <c r="F44" i="96"/>
  <c r="L44" i="96"/>
  <c r="G44" i="96"/>
  <c r="H44" i="96"/>
  <c r="E61" i="2"/>
  <c r="E44" i="96"/>
  <c r="I46" i="96"/>
  <c r="P21" i="96"/>
  <c r="H46" i="96" l="1"/>
  <c r="F46" i="96"/>
  <c r="E46" i="96"/>
  <c r="K46" i="96"/>
  <c r="D46" i="96"/>
  <c r="N46" i="96"/>
  <c r="M46" i="96"/>
  <c r="L46" i="96"/>
  <c r="J46" i="96"/>
  <c r="D45" i="96"/>
  <c r="O46" i="96"/>
  <c r="N45" i="96"/>
  <c r="K45" i="96"/>
  <c r="I45" i="96"/>
  <c r="H45" i="96"/>
  <c r="J45" i="96"/>
  <c r="G45" i="96"/>
  <c r="F45" i="96"/>
  <c r="O45" i="96"/>
  <c r="E45" i="96"/>
  <c r="M45" i="96"/>
  <c r="K40" i="86"/>
  <c r="P46" i="96" l="1"/>
  <c r="P45" i="96"/>
  <c r="K11" i="86"/>
  <c r="K8" i="86" l="1"/>
  <c r="K25" i="86"/>
  <c r="K41" i="86"/>
  <c r="K27" i="86" l="1"/>
  <c r="K43" i="86"/>
  <c r="K59" i="86"/>
  <c r="C13" i="50" l="1"/>
  <c r="C14" i="50" s="1"/>
  <c r="C15" i="50" s="1"/>
  <c r="G32" i="130"/>
  <c r="P7" i="96"/>
  <c r="F118" i="130"/>
  <c r="C80" i="31" l="1"/>
  <c r="C82" i="31" s="1"/>
  <c r="C84" i="31" s="1"/>
  <c r="D48" i="73" s="1"/>
  <c r="E48" i="73" s="1"/>
  <c r="C67" i="31"/>
  <c r="D47" i="73"/>
  <c r="E47" i="73" s="1"/>
  <c r="L7" i="96"/>
  <c r="J7" i="96"/>
  <c r="F7" i="96"/>
  <c r="G7" i="96"/>
  <c r="H7" i="96"/>
  <c r="K7" i="96"/>
  <c r="I7" i="96"/>
  <c r="D7" i="96"/>
  <c r="C49" i="31"/>
  <c r="D40" i="94"/>
  <c r="E40" i="94" s="1"/>
  <c r="E7" i="96"/>
  <c r="F13" i="50"/>
  <c r="F14" i="50" s="1"/>
  <c r="F15" i="50" s="1"/>
  <c r="D45" i="82"/>
  <c r="D35" i="82"/>
  <c r="E22" i="82"/>
  <c r="E20" i="82"/>
  <c r="E24" i="82"/>
  <c r="D37" i="82"/>
  <c r="D32" i="82"/>
  <c r="D34" i="82"/>
  <c r="D39" i="82"/>
  <c r="D36" i="82"/>
  <c r="D38" i="82"/>
  <c r="D33" i="82"/>
  <c r="D42" i="82"/>
  <c r="D46" i="82"/>
  <c r="J20" i="82"/>
  <c r="J19" i="82"/>
  <c r="J21" i="82" s="1"/>
  <c r="J43" i="82"/>
  <c r="G17" i="3"/>
  <c r="F80" i="31" l="1"/>
  <c r="F82" i="31" s="1"/>
  <c r="F67" i="31"/>
  <c r="D47" i="82"/>
  <c r="E49" i="73"/>
  <c r="E24" i="3" s="1"/>
  <c r="E29" i="82"/>
  <c r="E53" i="82" s="1"/>
  <c r="D43" i="82"/>
  <c r="D65" i="73"/>
  <c r="E65" i="73" s="1"/>
  <c r="F84" i="31"/>
  <c r="F40" i="94"/>
  <c r="G40" i="94" s="1"/>
  <c r="I87" i="94"/>
  <c r="C14" i="94" s="1"/>
  <c r="C33" i="94" s="1"/>
  <c r="B54" i="94"/>
  <c r="F49" i="31"/>
  <c r="D43" i="94"/>
  <c r="E43" i="94" s="1"/>
  <c r="D13" i="96"/>
  <c r="C50" i="31"/>
  <c r="C52" i="31"/>
  <c r="C51" i="31"/>
  <c r="C17" i="50"/>
  <c r="C16" i="96"/>
  <c r="D15" i="96" s="1"/>
  <c r="G20" i="96"/>
  <c r="N13" i="96"/>
  <c r="K20" i="96"/>
  <c r="M13" i="96"/>
  <c r="J20" i="96"/>
  <c r="K13" i="96"/>
  <c r="H20" i="96"/>
  <c r="H13" i="96"/>
  <c r="L20" i="96"/>
  <c r="I20" i="96"/>
  <c r="O13" i="96"/>
  <c r="L13" i="96"/>
  <c r="J13" i="96"/>
  <c r="G13" i="96"/>
  <c r="F17" i="50"/>
  <c r="H17" i="3"/>
  <c r="E17" i="3"/>
  <c r="D17" i="3"/>
  <c r="E11" i="73" l="1"/>
  <c r="E12" i="73" s="1"/>
  <c r="D66" i="73"/>
  <c r="E66" i="73" s="1"/>
  <c r="E67" i="73" s="1"/>
  <c r="D61" i="73"/>
  <c r="C35" i="94"/>
  <c r="C36" i="94"/>
  <c r="C54" i="31"/>
  <c r="C56" i="31" s="1"/>
  <c r="F51" i="31"/>
  <c r="F50" i="31"/>
  <c r="F52" i="31"/>
  <c r="C53" i="31"/>
  <c r="F43" i="94"/>
  <c r="G43" i="94" s="1"/>
  <c r="L87" i="94"/>
  <c r="B81" i="94"/>
  <c r="C34" i="94"/>
  <c r="P11" i="96"/>
  <c r="I22" i="96"/>
  <c r="P22" i="96" s="1"/>
  <c r="E54" i="82"/>
  <c r="D53" i="82"/>
  <c r="D54" i="82" s="1"/>
  <c r="E56" i="82"/>
  <c r="E20" i="96"/>
  <c r="P9" i="96"/>
  <c r="F20" i="96"/>
  <c r="H24" i="3" l="1"/>
  <c r="H11" i="73"/>
  <c r="H12" i="73" s="1"/>
  <c r="C55" i="31"/>
  <c r="E19" i="27"/>
  <c r="C71" i="31" s="1"/>
  <c r="C73" i="31" s="1"/>
  <c r="F53" i="31"/>
  <c r="F55" i="31" s="1"/>
  <c r="F54" i="31"/>
  <c r="F56" i="31" s="1"/>
  <c r="J41" i="82"/>
  <c r="D56" i="82"/>
  <c r="I30" i="82"/>
  <c r="I34" i="82" s="1"/>
  <c r="D20" i="96"/>
  <c r="C75" i="31" l="1"/>
  <c r="C41" i="31"/>
  <c r="C43" i="31" s="1"/>
  <c r="X12" i="14"/>
  <c r="X18" i="14" s="1"/>
  <c r="X24" i="14" s="1"/>
  <c r="Q70" i="14"/>
  <c r="J31" i="14"/>
  <c r="J37" i="14" s="1"/>
  <c r="J38" i="14" s="1"/>
  <c r="C33" i="14"/>
  <c r="J33" i="14"/>
  <c r="C31" i="14"/>
  <c r="C37" i="14" s="1"/>
  <c r="C43" i="14" s="1"/>
  <c r="Q31" i="14"/>
  <c r="Q37" i="14" s="1"/>
  <c r="Q43" i="14" s="1"/>
  <c r="X52" i="14"/>
  <c r="C50" i="14"/>
  <c r="C56" i="14" s="1"/>
  <c r="C57" i="14" s="1"/>
  <c r="X50" i="14"/>
  <c r="X56" i="14" s="1"/>
  <c r="X57" i="14" s="1"/>
  <c r="X14" i="14"/>
  <c r="J50" i="14"/>
  <c r="J56" i="14" s="1"/>
  <c r="J62" i="14" s="1"/>
  <c r="AB12" i="14"/>
  <c r="J14" i="14"/>
  <c r="J69" i="14"/>
  <c r="J75" i="14" s="1"/>
  <c r="J76" i="14" s="1"/>
  <c r="AA12" i="14"/>
  <c r="Q50" i="14"/>
  <c r="Q56" i="14" s="1"/>
  <c r="Q62" i="14" s="1"/>
  <c r="Z12" i="14"/>
  <c r="X33" i="14"/>
  <c r="J70" i="14"/>
  <c r="C52" i="14"/>
  <c r="Q52" i="14"/>
  <c r="C70" i="14"/>
  <c r="Y12" i="14"/>
  <c r="C9" i="88"/>
  <c r="X69" i="14"/>
  <c r="X75" i="14" s="1"/>
  <c r="C12" i="14"/>
  <c r="C18" i="14" s="1"/>
  <c r="J12" i="14"/>
  <c r="J18" i="14" s="1"/>
  <c r="J19" i="14" s="1"/>
  <c r="Q12" i="14"/>
  <c r="Q18" i="14" s="1"/>
  <c r="X31" i="14"/>
  <c r="X37" i="14" s="1"/>
  <c r="X43" i="14" s="1"/>
  <c r="Q69" i="14"/>
  <c r="Q75" i="14" s="1"/>
  <c r="C69" i="14"/>
  <c r="C75" i="14" s="1"/>
  <c r="C76" i="14" s="1"/>
  <c r="J13" i="14"/>
  <c r="Q32" i="14"/>
  <c r="C32" i="14"/>
  <c r="J51" i="14"/>
  <c r="X13" i="14"/>
  <c r="C13" i="14"/>
  <c r="C72" i="14"/>
  <c r="Q72" i="14"/>
  <c r="Q51" i="14"/>
  <c r="J32" i="14"/>
  <c r="X51" i="14"/>
  <c r="X32" i="14"/>
  <c r="X72" i="14"/>
  <c r="C51" i="14"/>
  <c r="Q13" i="14"/>
  <c r="J72" i="14"/>
  <c r="P20" i="96"/>
  <c r="D16" i="96"/>
  <c r="D18" i="96"/>
  <c r="X19" i="14" l="1"/>
  <c r="C44" i="31"/>
  <c r="Q33" i="14"/>
  <c r="D24" i="18"/>
  <c r="D25" i="18" s="1"/>
  <c r="D27" i="18" s="1"/>
  <c r="D31" i="18" s="1"/>
  <c r="D34" i="18" s="1"/>
  <c r="Q57" i="14"/>
  <c r="X62" i="14"/>
  <c r="J43" i="14"/>
  <c r="C62" i="14"/>
  <c r="C14" i="14"/>
  <c r="Q38" i="14"/>
  <c r="C38" i="14"/>
  <c r="J81" i="14"/>
  <c r="J52" i="14"/>
  <c r="X70" i="14"/>
  <c r="Q14" i="14"/>
  <c r="J24" i="14"/>
  <c r="D9" i="88"/>
  <c r="D11" i="88" s="1"/>
  <c r="C12" i="87"/>
  <c r="F12" i="88"/>
  <c r="F10" i="88"/>
  <c r="C63" i="2"/>
  <c r="Q24" i="14"/>
  <c r="Q19" i="14"/>
  <c r="Q76" i="14"/>
  <c r="Q81" i="14"/>
  <c r="I9" i="86"/>
  <c r="C81" i="14"/>
  <c r="F9" i="88"/>
  <c r="X38" i="14"/>
  <c r="C19" i="87"/>
  <c r="J57" i="14"/>
  <c r="C24" i="14"/>
  <c r="C19" i="14"/>
  <c r="F11" i="88"/>
  <c r="C24" i="96"/>
  <c r="C64" i="2"/>
  <c r="D64" i="2"/>
  <c r="X81" i="14"/>
  <c r="X76" i="14"/>
  <c r="E10" i="88"/>
  <c r="C53" i="14"/>
  <c r="C58" i="14" s="1"/>
  <c r="C60" i="14" s="1"/>
  <c r="X15" i="14"/>
  <c r="X20" i="14" s="1"/>
  <c r="X25" i="14" s="1"/>
  <c r="X26" i="14" s="1"/>
  <c r="Q71" i="14"/>
  <c r="Q77" i="14" s="1"/>
  <c r="Q82" i="14" s="1"/>
  <c r="J71" i="14"/>
  <c r="J77" i="14" s="1"/>
  <c r="J82" i="14" s="1"/>
  <c r="X71" i="14"/>
  <c r="Q15" i="14"/>
  <c r="J15" i="14"/>
  <c r="J20" i="14" s="1"/>
  <c r="J22" i="14" s="1"/>
  <c r="Q34" i="14"/>
  <c r="J34" i="14"/>
  <c r="J39" i="14" s="1"/>
  <c r="X34" i="14"/>
  <c r="X39" i="14" s="1"/>
  <c r="X44" i="14" s="1"/>
  <c r="X45" i="14" s="1"/>
  <c r="C34" i="14"/>
  <c r="C39" i="14" s="1"/>
  <c r="C44" i="14" s="1"/>
  <c r="C45" i="14" s="1"/>
  <c r="Q53" i="14"/>
  <c r="Q58" i="14" s="1"/>
  <c r="Q63" i="14" s="1"/>
  <c r="C71" i="14"/>
  <c r="C77" i="14" s="1"/>
  <c r="C82" i="14" s="1"/>
  <c r="J53" i="14"/>
  <c r="X53" i="14"/>
  <c r="X58" i="14" s="1"/>
  <c r="X60" i="14" s="1"/>
  <c r="C15" i="14"/>
  <c r="N25" i="96"/>
  <c r="G25" i="96"/>
  <c r="O25" i="96"/>
  <c r="I25" i="96"/>
  <c r="E25" i="96"/>
  <c r="K25" i="96"/>
  <c r="D25" i="96"/>
  <c r="F25" i="96"/>
  <c r="H25" i="96"/>
  <c r="J25" i="96"/>
  <c r="L25" i="96"/>
  <c r="M25" i="96"/>
  <c r="E15" i="96"/>
  <c r="D17" i="96"/>
  <c r="Q39" i="14" l="1"/>
  <c r="Q44" i="14" s="1"/>
  <c r="Q45" i="14" s="1"/>
  <c r="D38" i="18"/>
  <c r="D39" i="18" s="1"/>
  <c r="D35" i="18"/>
  <c r="G26" i="130"/>
  <c r="D21" i="18"/>
  <c r="G20" i="130" s="1"/>
  <c r="F20" i="130" s="1"/>
  <c r="X77" i="14"/>
  <c r="X82" i="14" s="1"/>
  <c r="X83" i="14" s="1"/>
  <c r="C20" i="14"/>
  <c r="C25" i="14" s="1"/>
  <c r="C26" i="14" s="1"/>
  <c r="J83" i="14"/>
  <c r="G23" i="130"/>
  <c r="Q20" i="14"/>
  <c r="Q25" i="14" s="1"/>
  <c r="Q26" i="14" s="1"/>
  <c r="J58" i="14"/>
  <c r="J63" i="14" s="1"/>
  <c r="J64" i="14" s="1"/>
  <c r="C63" i="14"/>
  <c r="C64" i="14" s="1"/>
  <c r="H9" i="88"/>
  <c r="X22" i="14"/>
  <c r="J25" i="14"/>
  <c r="J26" i="14" s="1"/>
  <c r="C15" i="87"/>
  <c r="C18" i="87"/>
  <c r="C65" i="2"/>
  <c r="C60" i="2" s="1"/>
  <c r="C85" i="14"/>
  <c r="D24" i="96"/>
  <c r="D27" i="96" s="1"/>
  <c r="X63" i="14"/>
  <c r="X64" i="14" s="1"/>
  <c r="Q60" i="14"/>
  <c r="C41" i="14"/>
  <c r="Q79" i="14"/>
  <c r="J79" i="14"/>
  <c r="X41" i="14"/>
  <c r="C79" i="14"/>
  <c r="J41" i="14"/>
  <c r="J44" i="14"/>
  <c r="J45" i="14" s="1"/>
  <c r="P25" i="96"/>
  <c r="Q83" i="14"/>
  <c r="C83" i="14"/>
  <c r="Q64" i="14"/>
  <c r="Q41" i="14" l="1"/>
  <c r="F23" i="130"/>
  <c r="F21" i="130"/>
  <c r="F22" i="130"/>
  <c r="G24" i="130"/>
  <c r="Q22" i="14"/>
  <c r="C22" i="14"/>
  <c r="X79" i="14"/>
  <c r="J60" i="14"/>
  <c r="H13" i="88"/>
  <c r="G30" i="130"/>
  <c r="F30" i="130" s="1"/>
  <c r="C90" i="14"/>
  <c r="C7" i="87" s="1"/>
  <c r="C6" i="87" l="1"/>
  <c r="E9" i="4" s="1"/>
  <c r="D107" i="2"/>
  <c r="G33" i="130"/>
  <c r="G34" i="130"/>
  <c r="C15" i="2"/>
  <c r="C106" i="2" s="1"/>
  <c r="C9" i="87"/>
  <c r="C20" i="87" s="1"/>
  <c r="C21" i="87" s="1"/>
  <c r="D101" i="2" s="1"/>
  <c r="C108" i="2" l="1"/>
  <c r="C92" i="2"/>
  <c r="C91" i="2"/>
  <c r="D106" i="2"/>
  <c r="G38" i="130"/>
  <c r="G37" i="130"/>
  <c r="D8" i="4"/>
  <c r="E8" i="4" s="1"/>
  <c r="D13" i="3"/>
  <c r="D27" i="3" s="1"/>
  <c r="C93" i="2" l="1"/>
  <c r="D91" i="2"/>
  <c r="D96" i="2" s="1"/>
  <c r="D92" i="2"/>
  <c r="D97" i="2" s="1"/>
  <c r="D108" i="2"/>
  <c r="D30" i="3"/>
  <c r="D10" i="4"/>
  <c r="D36" i="4" s="1"/>
  <c r="D11" i="5" s="1"/>
  <c r="D32" i="3" l="1"/>
  <c r="D34" i="3" s="1"/>
  <c r="D39" i="3" s="1"/>
  <c r="D45" i="3"/>
  <c r="D48" i="3" s="1"/>
  <c r="D98" i="2"/>
  <c r="D93" i="2"/>
  <c r="I15" i="48"/>
  <c r="D35" i="2"/>
  <c r="D36" i="2"/>
  <c r="D32" i="2" l="1"/>
  <c r="D33" i="2"/>
  <c r="D34" i="2"/>
  <c r="D8" i="5"/>
  <c r="D7" i="5" s="1"/>
  <c r="D49" i="3" a="1"/>
  <c r="D49" i="3" s="1"/>
  <c r="D54" i="3" s="1"/>
  <c r="D55" i="3" s="1"/>
  <c r="D56" i="3" s="1"/>
  <c r="D10" i="5" s="1"/>
  <c r="D13" i="4" s="1"/>
  <c r="D20" i="4" s="1"/>
  <c r="D73" i="2"/>
  <c r="D45" i="2"/>
  <c r="D86" i="2" s="1"/>
  <c r="D52" i="3" l="1"/>
  <c r="D13" i="5"/>
  <c r="D50" i="3"/>
  <c r="E47" i="3" s="1"/>
  <c r="D87" i="2"/>
  <c r="E8" i="3"/>
  <c r="D47" i="2"/>
  <c r="D49" i="2" s="1"/>
  <c r="E23" i="3" s="1"/>
  <c r="D81" i="2"/>
  <c r="E18" i="3"/>
  <c r="E65" i="3" s="1"/>
  <c r="D31" i="2"/>
  <c r="D5" i="86"/>
  <c r="E9" i="86" s="1"/>
  <c r="F9" i="86" s="1"/>
  <c r="E5" i="3"/>
  <c r="D17" i="5" l="1"/>
  <c r="D27" i="4"/>
  <c r="D40" i="3"/>
  <c r="D41" i="3" s="1"/>
  <c r="E38" i="3" s="1"/>
  <c r="E64" i="3"/>
  <c r="R57" i="127"/>
  <c r="R58" i="127" s="1"/>
  <c r="D88" i="2"/>
  <c r="D103" i="2" s="1"/>
  <c r="E8" i="86"/>
  <c r="F8" i="86" s="1"/>
  <c r="E6" i="4"/>
  <c r="H9" i="86"/>
  <c r="J9" i="86" s="1"/>
  <c r="L9" i="86"/>
  <c r="E14" i="86"/>
  <c r="F14" i="86" s="1"/>
  <c r="H14" i="86" s="1"/>
  <c r="J14" i="86" s="1"/>
  <c r="K14" i="86" s="1"/>
  <c r="E16" i="86"/>
  <c r="F16" i="86" s="1"/>
  <c r="H16" i="86" s="1"/>
  <c r="J16" i="86" s="1"/>
  <c r="K16" i="86" s="1"/>
  <c r="E12" i="86"/>
  <c r="F12" i="86" s="1"/>
  <c r="H12" i="86" s="1"/>
  <c r="J12" i="86" s="1"/>
  <c r="K12" i="86" s="1"/>
  <c r="E11" i="86"/>
  <c r="F11" i="86" s="1"/>
  <c r="E13" i="86"/>
  <c r="F13" i="86" s="1"/>
  <c r="H13" i="86" s="1"/>
  <c r="J13" i="86" s="1"/>
  <c r="K13" i="86" s="1"/>
  <c r="E15" i="86"/>
  <c r="F15" i="86" s="1"/>
  <c r="H15" i="86" s="1"/>
  <c r="J15" i="86" s="1"/>
  <c r="K15" i="86" s="1"/>
  <c r="E10" i="86"/>
  <c r="F10" i="86" s="1"/>
  <c r="E7" i="86"/>
  <c r="F7" i="86" s="1"/>
  <c r="H7" i="86" s="1"/>
  <c r="I7" i="86" s="1"/>
  <c r="L7" i="86" s="1"/>
  <c r="D28" i="4" l="1"/>
  <c r="D29" i="4" s="1"/>
  <c r="D31" i="4" s="1"/>
  <c r="D34" i="4" s="1"/>
  <c r="E27" i="3"/>
  <c r="E7" i="4"/>
  <c r="E10" i="4" s="1"/>
  <c r="D104" i="2"/>
  <c r="H8" i="86"/>
  <c r="I8" i="86" s="1"/>
  <c r="L8" i="86" s="1"/>
  <c r="J18" i="86"/>
  <c r="K9" i="86"/>
  <c r="H10" i="86"/>
  <c r="I10" i="86" s="1"/>
  <c r="L10" i="86" s="1"/>
  <c r="K10" i="86" l="1"/>
  <c r="K18" i="86" s="1"/>
  <c r="D62" i="2" s="1"/>
  <c r="D63" i="2" s="1"/>
  <c r="D65" i="2" l="1"/>
  <c r="E6" i="3"/>
  <c r="D60" i="2" l="1"/>
  <c r="E7" i="3"/>
  <c r="E9" i="3" s="1"/>
  <c r="E23" i="4" l="1"/>
  <c r="E24" i="4" s="1"/>
  <c r="E36" i="4" s="1"/>
  <c r="E11" i="5" s="1"/>
  <c r="E60" i="3"/>
  <c r="E11" i="3"/>
  <c r="E61" i="3" l="1"/>
  <c r="E30" i="3"/>
  <c r="E62" i="3" s="1"/>
  <c r="E32" i="3" l="1"/>
  <c r="E34" i="3" s="1"/>
  <c r="E63" i="3" s="1"/>
  <c r="E45" i="3"/>
  <c r="E8" i="5" l="1"/>
  <c r="E7" i="5" s="1"/>
  <c r="E39" i="3"/>
  <c r="E48" i="3"/>
  <c r="E49" i="3" a="1"/>
  <c r="E49" i="3" s="1"/>
  <c r="E54" i="3" s="1"/>
  <c r="E55" i="3" s="1"/>
  <c r="E56" i="3" s="1"/>
  <c r="E10" i="5" s="1"/>
  <c r="E13" i="4" s="1"/>
  <c r="E20" i="4" s="1"/>
  <c r="E50" i="3" l="1"/>
  <c r="F47" i="3" s="1"/>
  <c r="E52" i="3"/>
  <c r="E13" i="5"/>
  <c r="E7" i="116" l="1"/>
  <c r="E17" i="5"/>
  <c r="E40" i="3"/>
  <c r="E41" i="3" s="1"/>
  <c r="E27" i="4"/>
  <c r="E28" i="4" l="1"/>
  <c r="E29" i="4" s="1"/>
  <c r="E31" i="4" s="1"/>
  <c r="E34" i="4" s="1"/>
  <c r="F38" i="3"/>
  <c r="G44" i="2" l="1"/>
  <c r="G40" i="2"/>
  <c r="G37" i="2" s="1"/>
  <c r="G36" i="2"/>
  <c r="G35" i="2"/>
  <c r="I18" i="48"/>
  <c r="D165" i="51"/>
  <c r="G33" i="2" l="1"/>
  <c r="G32" i="2"/>
  <c r="G34" i="2"/>
  <c r="G39" i="2"/>
  <c r="G38" i="2"/>
  <c r="G41" i="2"/>
  <c r="G42" i="2"/>
  <c r="G43" i="2"/>
  <c r="E116" i="130"/>
  <c r="E117" i="130" s="1"/>
  <c r="E118" i="130" s="1"/>
  <c r="E119" i="130" s="1"/>
  <c r="E120" i="130" s="1"/>
  <c r="E121" i="130" s="1"/>
  <c r="G116" i="130"/>
  <c r="G117" i="130" s="1"/>
  <c r="G118" i="130" s="1"/>
  <c r="G119" i="130" s="1"/>
  <c r="G120" i="130" s="1"/>
  <c r="G121" i="130" s="1"/>
  <c r="E45" i="130"/>
  <c r="E46" i="130" s="1"/>
  <c r="E47" i="130" s="1"/>
  <c r="E48" i="130" s="1"/>
  <c r="E49" i="130" s="1"/>
  <c r="E50" i="130" s="1"/>
  <c r="G45" i="130"/>
  <c r="G46" i="130" s="1"/>
  <c r="G47" i="130" s="1"/>
  <c r="G48" i="130" s="1"/>
  <c r="G49" i="130" s="1"/>
  <c r="G50" i="130" s="1"/>
  <c r="E151" i="130"/>
  <c r="E152" i="130" s="1"/>
  <c r="E153" i="130" s="1"/>
  <c r="E154" i="130" s="1"/>
  <c r="E155" i="130" s="1"/>
  <c r="E156" i="130" s="1"/>
  <c r="G151" i="130"/>
  <c r="G152" i="130" s="1"/>
  <c r="G80" i="130"/>
  <c r="G81" i="130" s="1"/>
  <c r="G82" i="130" s="1"/>
  <c r="G83" i="130" s="1"/>
  <c r="G84" i="130" s="1"/>
  <c r="G85" i="130" s="1"/>
  <c r="E80" i="130"/>
  <c r="E81" i="130" s="1"/>
  <c r="E82" i="130" s="1"/>
  <c r="E83" i="130" s="1"/>
  <c r="E84" i="130" s="1"/>
  <c r="E85" i="130" s="1"/>
  <c r="G73" i="2"/>
  <c r="H18" i="3" s="1"/>
  <c r="G45" i="2"/>
  <c r="G138" i="130" l="1"/>
  <c r="M40" i="82"/>
  <c r="M41" i="82" s="1"/>
  <c r="M43" i="82" s="1"/>
  <c r="E173" i="130"/>
  <c r="E174" i="130"/>
  <c r="E102" i="130"/>
  <c r="E103" i="130"/>
  <c r="E67" i="130"/>
  <c r="E68" i="130"/>
  <c r="E138" i="130"/>
  <c r="E139" i="130"/>
  <c r="E13" i="50"/>
  <c r="E14" i="50" s="1"/>
  <c r="D13" i="50"/>
  <c r="G47" i="2"/>
  <c r="G86" i="2"/>
  <c r="L40" i="82"/>
  <c r="L41" i="82" s="1"/>
  <c r="G102" i="130"/>
  <c r="G81" i="2"/>
  <c r="F14" i="94"/>
  <c r="F33" i="94" s="1"/>
  <c r="F36" i="94" s="1"/>
  <c r="D54" i="86"/>
  <c r="E61" i="86" s="1"/>
  <c r="F61" i="86" s="1"/>
  <c r="H61" i="86" s="1"/>
  <c r="G87" i="2"/>
  <c r="H5" i="3"/>
  <c r="R226" i="127" s="1"/>
  <c r="R227" i="127" s="1"/>
  <c r="G31" i="2"/>
  <c r="K40" i="82"/>
  <c r="K41" i="82" s="1"/>
  <c r="H65" i="3" l="1"/>
  <c r="E63" i="86"/>
  <c r="F63" i="86" s="1"/>
  <c r="E65" i="86"/>
  <c r="F65" i="86" s="1"/>
  <c r="D14" i="50"/>
  <c r="D15" i="50" s="1"/>
  <c r="D67" i="31" s="1"/>
  <c r="G49" i="2"/>
  <c r="H23" i="3" s="1"/>
  <c r="E15" i="50"/>
  <c r="E175" i="130"/>
  <c r="M42" i="82"/>
  <c r="F34" i="94"/>
  <c r="F35" i="94"/>
  <c r="E69" i="130"/>
  <c r="E140" i="130"/>
  <c r="E104" i="130"/>
  <c r="G88" i="2"/>
  <c r="H7" i="4" s="1"/>
  <c r="L42" i="82"/>
  <c r="L43" i="82" s="1"/>
  <c r="E56" i="86"/>
  <c r="F56" i="86" s="1"/>
  <c r="H56" i="86" s="1"/>
  <c r="J56" i="86" s="1"/>
  <c r="K56" i="86" s="1"/>
  <c r="H19" i="27"/>
  <c r="F71" i="31" s="1"/>
  <c r="F73" i="31" s="1"/>
  <c r="F75" i="31" s="1"/>
  <c r="H6" i="4"/>
  <c r="E57" i="86"/>
  <c r="F57" i="86" s="1"/>
  <c r="H57" i="86" s="1"/>
  <c r="J57" i="86" s="1"/>
  <c r="E60" i="86"/>
  <c r="F60" i="86" s="1"/>
  <c r="H60" i="86" s="1"/>
  <c r="E62" i="86"/>
  <c r="F62" i="86" s="1"/>
  <c r="H62" i="86" s="1"/>
  <c r="E59" i="86"/>
  <c r="F59" i="86" s="1"/>
  <c r="H59" i="86" s="1"/>
  <c r="I59" i="86" s="1"/>
  <c r="L59" i="86" s="1"/>
  <c r="K42" i="82"/>
  <c r="E58" i="86"/>
  <c r="F58" i="86" s="1"/>
  <c r="H58" i="86" s="1"/>
  <c r="J58" i="86" s="1"/>
  <c r="K58" i="86" s="1"/>
  <c r="E64" i="86"/>
  <c r="F64" i="86" s="1"/>
  <c r="E80" i="31" l="1"/>
  <c r="E82" i="31" s="1"/>
  <c r="E67" i="31"/>
  <c r="D80" i="31"/>
  <c r="D82" i="31" s="1"/>
  <c r="D59" i="73"/>
  <c r="E59" i="73" s="1"/>
  <c r="E84" i="31"/>
  <c r="D60" i="73" s="1"/>
  <c r="E60" i="73" s="1"/>
  <c r="E49" i="31"/>
  <c r="D42" i="94"/>
  <c r="E42" i="94" s="1"/>
  <c r="D49" i="31"/>
  <c r="E36" i="2"/>
  <c r="E35" i="2"/>
  <c r="D41" i="94"/>
  <c r="E41" i="94" s="1"/>
  <c r="H64" i="3"/>
  <c r="D17" i="50"/>
  <c r="I16" i="48" s="1"/>
  <c r="F40" i="2"/>
  <c r="F36" i="2"/>
  <c r="F35" i="2"/>
  <c r="E17" i="50"/>
  <c r="I17" i="48" s="1"/>
  <c r="D164" i="51"/>
  <c r="D163" i="51"/>
  <c r="AA50" i="14"/>
  <c r="M31" i="14"/>
  <c r="M69" i="14"/>
  <c r="T31" i="14"/>
  <c r="T50" i="14"/>
  <c r="F69" i="14"/>
  <c r="T69" i="14"/>
  <c r="F50" i="14"/>
  <c r="AA69" i="14"/>
  <c r="M50" i="14"/>
  <c r="F12" i="14"/>
  <c r="F18" i="14" s="1"/>
  <c r="T12" i="14"/>
  <c r="F31" i="14"/>
  <c r="M12" i="14"/>
  <c r="F33" i="14"/>
  <c r="C34" i="88"/>
  <c r="C68" i="87" s="1"/>
  <c r="C71" i="87" s="1"/>
  <c r="AA31" i="14"/>
  <c r="G24" i="18"/>
  <c r="G25" i="18" s="1"/>
  <c r="G27" i="18" s="1"/>
  <c r="G31" i="18" s="1"/>
  <c r="G34" i="18" s="1"/>
  <c r="M72" i="14"/>
  <c r="T51" i="14"/>
  <c r="T13" i="14"/>
  <c r="M32" i="14"/>
  <c r="F72" i="14"/>
  <c r="M51" i="14"/>
  <c r="T32" i="14"/>
  <c r="AA51" i="14"/>
  <c r="T72" i="14"/>
  <c r="AA72" i="14"/>
  <c r="AA13" i="14"/>
  <c r="F32" i="14"/>
  <c r="F51" i="14"/>
  <c r="F13" i="14"/>
  <c r="AA32" i="14"/>
  <c r="M13" i="14"/>
  <c r="H63" i="86"/>
  <c r="J63" i="86" s="1"/>
  <c r="K63" i="86" s="1"/>
  <c r="L63" i="86"/>
  <c r="K43" i="82"/>
  <c r="H64" i="86"/>
  <c r="J64" i="86" s="1"/>
  <c r="K64" i="86" s="1"/>
  <c r="L64" i="86"/>
  <c r="K57" i="86"/>
  <c r="F66" i="86"/>
  <c r="H65" i="86"/>
  <c r="J65" i="86" s="1"/>
  <c r="K65" i="86" s="1"/>
  <c r="L65" i="86"/>
  <c r="E61" i="73" l="1"/>
  <c r="D53" i="73"/>
  <c r="E53" i="73" s="1"/>
  <c r="D84" i="31"/>
  <c r="D54" i="73" s="1"/>
  <c r="E54" i="73" s="1"/>
  <c r="F34" i="2"/>
  <c r="F32" i="2"/>
  <c r="F33" i="2"/>
  <c r="F38" i="2"/>
  <c r="F37" i="2"/>
  <c r="B63" i="94"/>
  <c r="F41" i="94"/>
  <c r="G41" i="94" s="1"/>
  <c r="J87" i="94"/>
  <c r="D14" i="94" s="1"/>
  <c r="D33" i="94" s="1"/>
  <c r="K87" i="94"/>
  <c r="E14" i="94" s="1"/>
  <c r="E33" i="94" s="1"/>
  <c r="F42" i="94"/>
  <c r="G42" i="94" s="1"/>
  <c r="B72" i="94"/>
  <c r="D50" i="31"/>
  <c r="D51" i="31"/>
  <c r="D52" i="31"/>
  <c r="E33" i="2"/>
  <c r="E34" i="2"/>
  <c r="E32" i="2"/>
  <c r="E51" i="31"/>
  <c r="E52" i="31"/>
  <c r="E50" i="31"/>
  <c r="H27" i="3"/>
  <c r="G38" i="18"/>
  <c r="G39" i="18" s="1"/>
  <c r="G35" i="18"/>
  <c r="E35" i="88"/>
  <c r="T34" i="14"/>
  <c r="M18" i="14"/>
  <c r="M24" i="14" s="1"/>
  <c r="AA75" i="14"/>
  <c r="AA81" i="14" s="1"/>
  <c r="F37" i="14"/>
  <c r="F43" i="14" s="1"/>
  <c r="M75" i="14"/>
  <c r="M81" i="14" s="1"/>
  <c r="M56" i="14"/>
  <c r="M57" i="14" s="1"/>
  <c r="F56" i="14"/>
  <c r="F57" i="14" s="1"/>
  <c r="M37" i="14"/>
  <c r="M38" i="14" s="1"/>
  <c r="AA37" i="14"/>
  <c r="AA38" i="14" s="1"/>
  <c r="T75" i="14"/>
  <c r="T76" i="14" s="1"/>
  <c r="T56" i="14"/>
  <c r="T62" i="14" s="1"/>
  <c r="AB18" i="14"/>
  <c r="AB19" i="14" s="1"/>
  <c r="T37" i="14"/>
  <c r="T38" i="14" s="1"/>
  <c r="T18" i="14"/>
  <c r="T19" i="14" s="1"/>
  <c r="AA56" i="14"/>
  <c r="AA57" i="14" s="1"/>
  <c r="AA18" i="14"/>
  <c r="AA19" i="14" s="1"/>
  <c r="F75" i="14"/>
  <c r="F81" i="14" s="1"/>
  <c r="E73" i="2"/>
  <c r="F18" i="3" s="1"/>
  <c r="P33" i="96"/>
  <c r="E45" i="2"/>
  <c r="F5" i="3" s="1"/>
  <c r="F45" i="2"/>
  <c r="F87" i="2" s="1"/>
  <c r="F73" i="2"/>
  <c r="F39" i="2"/>
  <c r="F70" i="14"/>
  <c r="D34" i="88"/>
  <c r="D36" i="88" s="1"/>
  <c r="AA52" i="14"/>
  <c r="F52" i="14"/>
  <c r="AA33" i="14"/>
  <c r="T52" i="14"/>
  <c r="T33" i="14"/>
  <c r="M52" i="14"/>
  <c r="T14" i="14"/>
  <c r="AA14" i="14"/>
  <c r="AA70" i="14"/>
  <c r="M33" i="14"/>
  <c r="F14" i="14"/>
  <c r="M70" i="14"/>
  <c r="M14" i="14"/>
  <c r="T70" i="14"/>
  <c r="M53" i="14"/>
  <c r="F15" i="14"/>
  <c r="T71" i="14"/>
  <c r="M15" i="14"/>
  <c r="F34" i="14"/>
  <c r="F39" i="14" s="1"/>
  <c r="F44" i="14" s="1"/>
  <c r="T53" i="14"/>
  <c r="M71" i="14"/>
  <c r="T15" i="14"/>
  <c r="AA34" i="14"/>
  <c r="AA71" i="14"/>
  <c r="F53" i="14"/>
  <c r="M34" i="14"/>
  <c r="F71" i="14"/>
  <c r="AA53" i="14"/>
  <c r="AA15" i="14"/>
  <c r="C74" i="87"/>
  <c r="F24" i="14"/>
  <c r="F19" i="14"/>
  <c r="G64" i="2"/>
  <c r="H8" i="3" s="1"/>
  <c r="E55" i="73" l="1"/>
  <c r="F24" i="3" s="1"/>
  <c r="G11" i="73"/>
  <c r="G12" i="73" s="1"/>
  <c r="G24" i="3"/>
  <c r="D34" i="94"/>
  <c r="D36" i="94"/>
  <c r="E35" i="94"/>
  <c r="E36" i="94"/>
  <c r="E34" i="94"/>
  <c r="D54" i="31"/>
  <c r="D56" i="31" s="1"/>
  <c r="E54" i="31"/>
  <c r="E56" i="31" s="1"/>
  <c r="D35" i="94"/>
  <c r="D53" i="31"/>
  <c r="D55" i="31" s="1"/>
  <c r="E53" i="31"/>
  <c r="E55" i="31" s="1"/>
  <c r="F41" i="31"/>
  <c r="E86" i="2"/>
  <c r="G21" i="18"/>
  <c r="G126" i="130" s="1"/>
  <c r="M19" i="14"/>
  <c r="G130" i="130"/>
  <c r="G129" i="130"/>
  <c r="T57" i="14"/>
  <c r="F38" i="14"/>
  <c r="F41" i="14" s="1"/>
  <c r="F76" i="14"/>
  <c r="F62" i="14"/>
  <c r="M76" i="14"/>
  <c r="M62" i="14"/>
  <c r="AA43" i="14"/>
  <c r="AA24" i="14"/>
  <c r="M43" i="14"/>
  <c r="AA62" i="14"/>
  <c r="T81" i="14"/>
  <c r="T24" i="14"/>
  <c r="T43" i="14"/>
  <c r="AB24" i="14"/>
  <c r="AA76" i="14"/>
  <c r="Z18" i="14"/>
  <c r="Z24" i="14" s="1"/>
  <c r="R107" i="127"/>
  <c r="E31" i="2"/>
  <c r="E87" i="2"/>
  <c r="P44" i="96"/>
  <c r="F6" i="4"/>
  <c r="D22" i="86"/>
  <c r="E28" i="86" s="1"/>
  <c r="F28" i="86" s="1"/>
  <c r="H28" i="86" s="1"/>
  <c r="J28" i="86" s="1"/>
  <c r="K28" i="86" s="1"/>
  <c r="E47" i="2"/>
  <c r="F31" i="2"/>
  <c r="G5" i="3"/>
  <c r="R156" i="127" s="1"/>
  <c r="R157" i="127" s="1"/>
  <c r="F86" i="2"/>
  <c r="F88" i="2" s="1"/>
  <c r="F47" i="2"/>
  <c r="D38" i="86"/>
  <c r="G18" i="3"/>
  <c r="F81" i="2"/>
  <c r="M58" i="14"/>
  <c r="M63" i="14" s="1"/>
  <c r="F58" i="14"/>
  <c r="F63" i="14" s="1"/>
  <c r="F77" i="14"/>
  <c r="F82" i="14" s="1"/>
  <c r="M39" i="14"/>
  <c r="AA20" i="14"/>
  <c r="AA25" i="14" s="1"/>
  <c r="M77" i="14"/>
  <c r="M82" i="14" s="1"/>
  <c r="AA58" i="14"/>
  <c r="AA63" i="14" s="1"/>
  <c r="T58" i="14"/>
  <c r="T63" i="14" s="1"/>
  <c r="T39" i="14"/>
  <c r="F45" i="14"/>
  <c r="T77" i="14"/>
  <c r="T82" i="14" s="1"/>
  <c r="AA39" i="14"/>
  <c r="AA44" i="14" s="1"/>
  <c r="F20" i="14"/>
  <c r="F25" i="14" s="1"/>
  <c r="AA77" i="14"/>
  <c r="AA82" i="14" s="1"/>
  <c r="T20" i="14"/>
  <c r="T25" i="14" s="1"/>
  <c r="M20" i="14"/>
  <c r="M25" i="14" s="1"/>
  <c r="I62" i="86"/>
  <c r="I61" i="86"/>
  <c r="I60" i="86"/>
  <c r="J60" i="86" s="1"/>
  <c r="K60" i="86" s="1"/>
  <c r="F36" i="88"/>
  <c r="H36" i="88" s="1"/>
  <c r="F34" i="88"/>
  <c r="H34" i="88" s="1"/>
  <c r="F35" i="88"/>
  <c r="H35" i="88" s="1"/>
  <c r="F37" i="88"/>
  <c r="C75" i="87"/>
  <c r="F11" i="73" l="1"/>
  <c r="F12" i="73" s="1"/>
  <c r="G65" i="3"/>
  <c r="L13" i="14"/>
  <c r="Z51" i="14"/>
  <c r="L51" i="14"/>
  <c r="E72" i="14"/>
  <c r="S72" i="14"/>
  <c r="E32" i="14"/>
  <c r="L72" i="14"/>
  <c r="Z13" i="14"/>
  <c r="S13" i="14"/>
  <c r="Z32" i="14"/>
  <c r="E13" i="14"/>
  <c r="S32" i="14"/>
  <c r="E51" i="14"/>
  <c r="F44" i="31"/>
  <c r="F43" i="31"/>
  <c r="L32" i="14"/>
  <c r="Z72" i="14"/>
  <c r="S51" i="14"/>
  <c r="F49" i="2"/>
  <c r="G23" i="3" s="1"/>
  <c r="E49" i="2"/>
  <c r="F23" i="3" s="1"/>
  <c r="F64" i="3" s="1"/>
  <c r="E27" i="88"/>
  <c r="Z15" i="14"/>
  <c r="L15" i="14"/>
  <c r="E34" i="14"/>
  <c r="S71" i="14"/>
  <c r="Z34" i="14"/>
  <c r="E71" i="14"/>
  <c r="E15" i="14"/>
  <c r="S15" i="14"/>
  <c r="L53" i="14"/>
  <c r="Z53" i="14"/>
  <c r="S34" i="14"/>
  <c r="L71" i="14"/>
  <c r="L34" i="14"/>
  <c r="E53" i="14"/>
  <c r="Z71" i="14"/>
  <c r="S53" i="14"/>
  <c r="L31" i="14"/>
  <c r="L37" i="14" s="1"/>
  <c r="L43" i="14" s="1"/>
  <c r="C26" i="88"/>
  <c r="S69" i="14"/>
  <c r="S75" i="14" s="1"/>
  <c r="S76" i="14" s="1"/>
  <c r="G19" i="27"/>
  <c r="E71" i="31" s="1"/>
  <c r="E73" i="31" s="1"/>
  <c r="E50" i="14"/>
  <c r="E56" i="14" s="1"/>
  <c r="E57" i="14" s="1"/>
  <c r="L69" i="14"/>
  <c r="L75" i="14" s="1"/>
  <c r="L76" i="14" s="1"/>
  <c r="S12" i="14"/>
  <c r="S18" i="14" s="1"/>
  <c r="S19" i="14" s="1"/>
  <c r="E12" i="14"/>
  <c r="S50" i="14"/>
  <c r="S56" i="14" s="1"/>
  <c r="S62" i="14" s="1"/>
  <c r="L12" i="14"/>
  <c r="L18" i="14" s="1"/>
  <c r="L24" i="14" s="1"/>
  <c r="Z69" i="14"/>
  <c r="Z75" i="14" s="1"/>
  <c r="Z76" i="14" s="1"/>
  <c r="E31" i="14"/>
  <c r="E37" i="14" s="1"/>
  <c r="E38" i="14" s="1"/>
  <c r="E69" i="14"/>
  <c r="E75" i="14" s="1"/>
  <c r="E76" i="14" s="1"/>
  <c r="S31" i="14"/>
  <c r="S37" i="14" s="1"/>
  <c r="S43" i="14" s="1"/>
  <c r="Z31" i="14"/>
  <c r="Z37" i="14" s="1"/>
  <c r="Z43" i="14" s="1"/>
  <c r="L50" i="14"/>
  <c r="L56" i="14" s="1"/>
  <c r="Z50" i="14"/>
  <c r="Z56" i="14" s="1"/>
  <c r="Z57" i="14" s="1"/>
  <c r="F126" i="130"/>
  <c r="F127" i="130"/>
  <c r="F128" i="130"/>
  <c r="F129" i="130"/>
  <c r="R51" i="14"/>
  <c r="K13" i="14"/>
  <c r="Y51" i="14"/>
  <c r="K51" i="14"/>
  <c r="D13" i="14"/>
  <c r="K72" i="14"/>
  <c r="Y72" i="14"/>
  <c r="D32" i="14"/>
  <c r="K32" i="14"/>
  <c r="R13" i="14"/>
  <c r="Y13" i="14"/>
  <c r="D51" i="14"/>
  <c r="D72" i="14"/>
  <c r="R72" i="14"/>
  <c r="Y32" i="14"/>
  <c r="R32" i="14"/>
  <c r="F19" i="27"/>
  <c r="D71" i="31" s="1"/>
  <c r="D73" i="31" s="1"/>
  <c r="C18" i="88"/>
  <c r="K69" i="14"/>
  <c r="K75" i="14" s="1"/>
  <c r="Y31" i="14"/>
  <c r="Y37" i="14" s="1"/>
  <c r="D50" i="14"/>
  <c r="D56" i="14" s="1"/>
  <c r="D69" i="14"/>
  <c r="D75" i="14" s="1"/>
  <c r="R69" i="14"/>
  <c r="R75" i="14" s="1"/>
  <c r="Y50" i="14"/>
  <c r="Y56" i="14" s="1"/>
  <c r="Y69" i="14"/>
  <c r="Y75" i="14" s="1"/>
  <c r="R31" i="14"/>
  <c r="R37" i="14" s="1"/>
  <c r="D12" i="14"/>
  <c r="Y18" i="14"/>
  <c r="D31" i="14"/>
  <c r="D37" i="14" s="1"/>
  <c r="D38" i="14" s="1"/>
  <c r="R12" i="14"/>
  <c r="R18" i="14" s="1"/>
  <c r="K31" i="14"/>
  <c r="K37" i="14" s="1"/>
  <c r="R50" i="14"/>
  <c r="R56" i="14" s="1"/>
  <c r="K12" i="14"/>
  <c r="K18" i="14" s="1"/>
  <c r="K50" i="14"/>
  <c r="K56" i="14" s="1"/>
  <c r="Z19" i="14"/>
  <c r="E88" i="2"/>
  <c r="F7" i="4" s="1"/>
  <c r="E31" i="86"/>
  <c r="F31" i="86" s="1"/>
  <c r="H31" i="86" s="1"/>
  <c r="J31" i="86" s="1"/>
  <c r="K31" i="86" s="1"/>
  <c r="E29" i="86"/>
  <c r="F29" i="86" s="1"/>
  <c r="H29" i="86" s="1"/>
  <c r="J29" i="86" s="1"/>
  <c r="K29" i="86" s="1"/>
  <c r="E25" i="86"/>
  <c r="F25" i="86" s="1"/>
  <c r="H25" i="86" s="1"/>
  <c r="I25" i="86" s="1"/>
  <c r="L25" i="86" s="1"/>
  <c r="E32" i="86"/>
  <c r="F32" i="86" s="1"/>
  <c r="H32" i="86" s="1"/>
  <c r="J32" i="86" s="1"/>
  <c r="K32" i="86" s="1"/>
  <c r="E30" i="86"/>
  <c r="F30" i="86" s="1"/>
  <c r="H30" i="86" s="1"/>
  <c r="J30" i="86" s="1"/>
  <c r="K30" i="86" s="1"/>
  <c r="E33" i="86"/>
  <c r="F33" i="86" s="1"/>
  <c r="H33" i="86" s="1"/>
  <c r="J33" i="86" s="1"/>
  <c r="K33" i="86" s="1"/>
  <c r="E24" i="86"/>
  <c r="F24" i="86" s="1"/>
  <c r="H24" i="86" s="1"/>
  <c r="I24" i="86" s="1"/>
  <c r="L24" i="86" s="1"/>
  <c r="E26" i="86"/>
  <c r="F26" i="86" s="1"/>
  <c r="H26" i="86" s="1"/>
  <c r="E27" i="86"/>
  <c r="F27" i="86" s="1"/>
  <c r="H27" i="86" s="1"/>
  <c r="I27" i="86" s="1"/>
  <c r="L27" i="86" s="1"/>
  <c r="G7" i="4"/>
  <c r="E45" i="86"/>
  <c r="F45" i="86" s="1"/>
  <c r="H45" i="86" s="1"/>
  <c r="E47" i="86"/>
  <c r="F47" i="86" s="1"/>
  <c r="H47" i="86" s="1"/>
  <c r="J47" i="86" s="1"/>
  <c r="K47" i="86" s="1"/>
  <c r="E42" i="86"/>
  <c r="F42" i="86" s="1"/>
  <c r="H42" i="86" s="1"/>
  <c r="E40" i="86"/>
  <c r="F40" i="86" s="1"/>
  <c r="E41" i="86"/>
  <c r="F41" i="86" s="1"/>
  <c r="H41" i="86" s="1"/>
  <c r="I41" i="86" s="1"/>
  <c r="L41" i="86" s="1"/>
  <c r="E46" i="86"/>
  <c r="F46" i="86" s="1"/>
  <c r="E48" i="86"/>
  <c r="F48" i="86" s="1"/>
  <c r="H48" i="86" s="1"/>
  <c r="J48" i="86" s="1"/>
  <c r="K48" i="86" s="1"/>
  <c r="E49" i="86"/>
  <c r="F49" i="86" s="1"/>
  <c r="H49" i="86" s="1"/>
  <c r="J49" i="86" s="1"/>
  <c r="K49" i="86" s="1"/>
  <c r="E43" i="86"/>
  <c r="F43" i="86" s="1"/>
  <c r="H43" i="86" s="1"/>
  <c r="I43" i="86" s="1"/>
  <c r="L43" i="86" s="1"/>
  <c r="G6" i="4"/>
  <c r="E44" i="86"/>
  <c r="F44" i="86" s="1"/>
  <c r="M60" i="14"/>
  <c r="M64" i="14"/>
  <c r="F64" i="14"/>
  <c r="F60" i="14"/>
  <c r="F83" i="14"/>
  <c r="F79" i="14"/>
  <c r="M83" i="14"/>
  <c r="T83" i="14"/>
  <c r="F26" i="14"/>
  <c r="AA45" i="14"/>
  <c r="M79" i="14"/>
  <c r="M26" i="14"/>
  <c r="AA22" i="14"/>
  <c r="AA26" i="14"/>
  <c r="M44" i="14"/>
  <c r="M41" i="14"/>
  <c r="T26" i="14"/>
  <c r="T60" i="14"/>
  <c r="AA60" i="14"/>
  <c r="AA64" i="14"/>
  <c r="AA79" i="14"/>
  <c r="T64" i="14"/>
  <c r="M22" i="14"/>
  <c r="T44" i="14"/>
  <c r="T41" i="14"/>
  <c r="T22" i="14"/>
  <c r="AA83" i="14"/>
  <c r="F22" i="14"/>
  <c r="AA41" i="14"/>
  <c r="T79" i="14"/>
  <c r="L60" i="86"/>
  <c r="H38" i="88"/>
  <c r="J61" i="86"/>
  <c r="K61" i="86" s="1"/>
  <c r="L61" i="86"/>
  <c r="J62" i="86"/>
  <c r="K62" i="86" s="1"/>
  <c r="L62" i="86"/>
  <c r="G27" i="3" l="1"/>
  <c r="G64" i="3"/>
  <c r="D75" i="31"/>
  <c r="D41" i="31"/>
  <c r="E75" i="31"/>
  <c r="E41" i="31"/>
  <c r="Z38" i="14"/>
  <c r="S81" i="14"/>
  <c r="Z62" i="14"/>
  <c r="L38" i="14"/>
  <c r="E24" i="18"/>
  <c r="L81" i="14"/>
  <c r="S24" i="14"/>
  <c r="E43" i="14"/>
  <c r="S57" i="14"/>
  <c r="E18" i="14"/>
  <c r="E14" i="14"/>
  <c r="E20" i="14" s="1"/>
  <c r="E25" i="14" s="1"/>
  <c r="S38" i="14"/>
  <c r="Z81" i="14"/>
  <c r="L19" i="14"/>
  <c r="E62" i="14"/>
  <c r="C49" i="87"/>
  <c r="D26" i="88"/>
  <c r="D28" i="88" s="1"/>
  <c r="S70" i="14"/>
  <c r="S77" i="14" s="1"/>
  <c r="L14" i="14"/>
  <c r="L20" i="14" s="1"/>
  <c r="L25" i="14" s="1"/>
  <c r="L26" i="14" s="1"/>
  <c r="E52" i="14"/>
  <c r="E58" i="14" s="1"/>
  <c r="E63" i="14" s="1"/>
  <c r="S52" i="14"/>
  <c r="S58" i="14" s="1"/>
  <c r="S63" i="14" s="1"/>
  <c r="S64" i="14" s="1"/>
  <c r="L52" i="14"/>
  <c r="L58" i="14" s="1"/>
  <c r="L63" i="14" s="1"/>
  <c r="Z33" i="14"/>
  <c r="Z39" i="14" s="1"/>
  <c r="Z44" i="14" s="1"/>
  <c r="Z45" i="14" s="1"/>
  <c r="Z14" i="14"/>
  <c r="Z20" i="14" s="1"/>
  <c r="Z25" i="14" s="1"/>
  <c r="Z26" i="14" s="1"/>
  <c r="E70" i="14"/>
  <c r="E77" i="14" s="1"/>
  <c r="E82" i="14" s="1"/>
  <c r="Z52" i="14"/>
  <c r="Z58" i="14" s="1"/>
  <c r="L33" i="14"/>
  <c r="L39" i="14" s="1"/>
  <c r="L44" i="14" s="1"/>
  <c r="L45" i="14" s="1"/>
  <c r="L70" i="14"/>
  <c r="L77" i="14" s="1"/>
  <c r="S14" i="14"/>
  <c r="S20" i="14" s="1"/>
  <c r="E33" i="14"/>
  <c r="E39" i="14" s="1"/>
  <c r="E44" i="14" s="1"/>
  <c r="S33" i="14"/>
  <c r="S39" i="14" s="1"/>
  <c r="S44" i="14" s="1"/>
  <c r="S45" i="14" s="1"/>
  <c r="Z70" i="14"/>
  <c r="Z77" i="14" s="1"/>
  <c r="Z82" i="14" s="1"/>
  <c r="E81" i="14"/>
  <c r="L62" i="14"/>
  <c r="L57" i="14"/>
  <c r="G132" i="130"/>
  <c r="G136" i="130"/>
  <c r="F136" i="130" s="1"/>
  <c r="E19" i="88"/>
  <c r="Y53" i="14"/>
  <c r="Y34" i="14"/>
  <c r="K53" i="14"/>
  <c r="R71" i="14"/>
  <c r="R34" i="14"/>
  <c r="D71" i="14"/>
  <c r="D15" i="14"/>
  <c r="K15" i="14"/>
  <c r="Y15" i="14"/>
  <c r="D53" i="14"/>
  <c r="R53" i="14"/>
  <c r="K71" i="14"/>
  <c r="K34" i="14"/>
  <c r="D34" i="14"/>
  <c r="R15" i="14"/>
  <c r="Y71" i="14"/>
  <c r="K43" i="14"/>
  <c r="K38" i="14"/>
  <c r="R76" i="14"/>
  <c r="R81" i="14"/>
  <c r="R19" i="14"/>
  <c r="R24" i="14"/>
  <c r="D81" i="14"/>
  <c r="D76" i="14"/>
  <c r="D43" i="14"/>
  <c r="D62" i="14"/>
  <c r="D57" i="14"/>
  <c r="Y19" i="14"/>
  <c r="Y24" i="14"/>
  <c r="Y38" i="14"/>
  <c r="Y43" i="14"/>
  <c r="D18" i="14"/>
  <c r="D14" i="14"/>
  <c r="K81" i="14"/>
  <c r="K76" i="14"/>
  <c r="K57" i="14"/>
  <c r="K62" i="14"/>
  <c r="R38" i="14"/>
  <c r="R43" i="14"/>
  <c r="K14" i="14"/>
  <c r="D33" i="14"/>
  <c r="K33" i="14"/>
  <c r="R33" i="14"/>
  <c r="Y33" i="14"/>
  <c r="R52" i="14"/>
  <c r="K70" i="14"/>
  <c r="R14" i="14"/>
  <c r="D52" i="14"/>
  <c r="D70" i="14"/>
  <c r="R70" i="14"/>
  <c r="Y52" i="14"/>
  <c r="Y14" i="14"/>
  <c r="Y70" i="14"/>
  <c r="K52" i="14"/>
  <c r="K24" i="14"/>
  <c r="K19" i="14"/>
  <c r="Y81" i="14"/>
  <c r="Y76" i="14"/>
  <c r="D18" i="88"/>
  <c r="D20" i="88" s="1"/>
  <c r="C30" i="87"/>
  <c r="R57" i="14"/>
  <c r="R62" i="14"/>
  <c r="Y57" i="14"/>
  <c r="Y62" i="14"/>
  <c r="F34" i="86"/>
  <c r="N24" i="86"/>
  <c r="H44" i="86"/>
  <c r="J44" i="86" s="1"/>
  <c r="K44" i="86" s="1"/>
  <c r="L44" i="86"/>
  <c r="L46" i="86"/>
  <c r="H46" i="86"/>
  <c r="J46" i="86" s="1"/>
  <c r="K46" i="86" s="1"/>
  <c r="F50" i="86"/>
  <c r="H40" i="86"/>
  <c r="I40" i="86" s="1"/>
  <c r="L40" i="86" s="1"/>
  <c r="M45" i="14"/>
  <c r="F90" i="14"/>
  <c r="T45" i="14"/>
  <c r="K67" i="86"/>
  <c r="G62" i="2" s="1"/>
  <c r="G63" i="2" s="1"/>
  <c r="J67" i="86"/>
  <c r="G107" i="2"/>
  <c r="C62" i="87"/>
  <c r="H9" i="4" s="1"/>
  <c r="E44" i="31" l="1"/>
  <c r="E43" i="31"/>
  <c r="D44" i="31"/>
  <c r="D43" i="31"/>
  <c r="E64" i="2"/>
  <c r="F8" i="3" s="1"/>
  <c r="K20" i="14"/>
  <c r="K25" i="14" s="1"/>
  <c r="K26" i="14" s="1"/>
  <c r="F64" i="2"/>
  <c r="G8" i="3" s="1"/>
  <c r="H6" i="3"/>
  <c r="G65" i="2"/>
  <c r="L41" i="14"/>
  <c r="F24" i="18"/>
  <c r="E25" i="18"/>
  <c r="E27" i="18" s="1"/>
  <c r="G58" i="130"/>
  <c r="Z83" i="14"/>
  <c r="S41" i="14"/>
  <c r="E45" i="14"/>
  <c r="E41" i="14"/>
  <c r="S82" i="14"/>
  <c r="S83" i="14" s="1"/>
  <c r="S79" i="14"/>
  <c r="Z22" i="14"/>
  <c r="E24" i="14"/>
  <c r="E19" i="14"/>
  <c r="E22" i="14" s="1"/>
  <c r="S60" i="14"/>
  <c r="E83" i="14"/>
  <c r="C52" i="87"/>
  <c r="C55" i="87"/>
  <c r="E64" i="14"/>
  <c r="Z79" i="14"/>
  <c r="L22" i="14"/>
  <c r="E79" i="14"/>
  <c r="L60" i="14"/>
  <c r="S25" i="14"/>
  <c r="S26" i="14" s="1"/>
  <c r="S22" i="14"/>
  <c r="L82" i="14"/>
  <c r="L83" i="14" s="1"/>
  <c r="L79" i="14"/>
  <c r="E60" i="14"/>
  <c r="Z41" i="14"/>
  <c r="L64" i="14"/>
  <c r="Z63" i="14"/>
  <c r="Z64" i="14" s="1"/>
  <c r="Z60" i="14"/>
  <c r="E21" i="18"/>
  <c r="G55" i="130" s="1"/>
  <c r="F55" i="130" s="1"/>
  <c r="Y77" i="14"/>
  <c r="Y82" i="14" s="1"/>
  <c r="Y83" i="14" s="1"/>
  <c r="R58" i="14"/>
  <c r="R63" i="14" s="1"/>
  <c r="R64" i="14" s="1"/>
  <c r="Y39" i="14"/>
  <c r="Y44" i="14" s="1"/>
  <c r="Y45" i="14" s="1"/>
  <c r="D58" i="14"/>
  <c r="D63" i="14" s="1"/>
  <c r="D64" i="14" s="1"/>
  <c r="F21" i="88"/>
  <c r="F20" i="88"/>
  <c r="H20" i="88" s="1"/>
  <c r="F19" i="88"/>
  <c r="H19" i="88" s="1"/>
  <c r="F18" i="88"/>
  <c r="H18" i="88" s="1"/>
  <c r="Y20" i="14"/>
  <c r="Y25" i="14" s="1"/>
  <c r="Y26" i="14" s="1"/>
  <c r="G139" i="130"/>
  <c r="G140" i="130"/>
  <c r="Y58" i="14"/>
  <c r="Y63" i="14" s="1"/>
  <c r="Y64" i="14" s="1"/>
  <c r="R77" i="14"/>
  <c r="K58" i="14"/>
  <c r="K63" i="14" s="1"/>
  <c r="K64" i="14" s="1"/>
  <c r="K77" i="14"/>
  <c r="R39" i="14"/>
  <c r="R44" i="14" s="1"/>
  <c r="R45" i="14" s="1"/>
  <c r="K39" i="14"/>
  <c r="D77" i="14"/>
  <c r="D39" i="14"/>
  <c r="D20" i="14"/>
  <c r="D25" i="14" s="1"/>
  <c r="R20" i="14"/>
  <c r="R25" i="14" s="1"/>
  <c r="R26" i="14" s="1"/>
  <c r="C36" i="87"/>
  <c r="C33" i="87"/>
  <c r="D24" i="14"/>
  <c r="D19" i="14"/>
  <c r="C63" i="87"/>
  <c r="K22" i="14" l="1"/>
  <c r="I26" i="86"/>
  <c r="J26" i="86" s="1"/>
  <c r="J35" i="86" s="1"/>
  <c r="C37" i="87"/>
  <c r="F25" i="18"/>
  <c r="G93" i="130"/>
  <c r="G59" i="130"/>
  <c r="H7" i="3"/>
  <c r="H9" i="3" s="1"/>
  <c r="G60" i="2"/>
  <c r="I42" i="86"/>
  <c r="F21" i="18"/>
  <c r="G90" i="130" s="1"/>
  <c r="I45" i="86"/>
  <c r="F29" i="88"/>
  <c r="C56" i="87"/>
  <c r="F26" i="88"/>
  <c r="H26" i="88" s="1"/>
  <c r="F27" i="88"/>
  <c r="H27" i="88" s="1"/>
  <c r="F28" i="88"/>
  <c r="H28" i="88" s="1"/>
  <c r="Y41" i="14"/>
  <c r="E26" i="14"/>
  <c r="E90" i="14"/>
  <c r="C44" i="87" s="1"/>
  <c r="F56" i="130"/>
  <c r="Y79" i="14"/>
  <c r="G61" i="130"/>
  <c r="E31" i="18"/>
  <c r="R60" i="14"/>
  <c r="D60" i="14"/>
  <c r="H22" i="88"/>
  <c r="C24" i="87" s="1"/>
  <c r="Y22" i="14"/>
  <c r="F57" i="130"/>
  <c r="F58" i="130"/>
  <c r="Y60" i="14"/>
  <c r="G144" i="130"/>
  <c r="G143" i="130"/>
  <c r="K60" i="14"/>
  <c r="R82" i="14"/>
  <c r="R83" i="14" s="1"/>
  <c r="R79" i="14"/>
  <c r="K82" i="14"/>
  <c r="K83" i="14" s="1"/>
  <c r="K79" i="14"/>
  <c r="R41" i="14"/>
  <c r="D82" i="14"/>
  <c r="D83" i="14" s="1"/>
  <c r="D79" i="14"/>
  <c r="K44" i="14"/>
  <c r="K45" i="14" s="1"/>
  <c r="K41" i="14"/>
  <c r="D22" i="14"/>
  <c r="D44" i="14"/>
  <c r="D45" i="14" s="1"/>
  <c r="D41" i="14"/>
  <c r="R22" i="14"/>
  <c r="D26" i="14"/>
  <c r="H8" i="4"/>
  <c r="G106" i="2"/>
  <c r="C65" i="87"/>
  <c r="C76" i="87" s="1"/>
  <c r="C77" i="87" s="1"/>
  <c r="G101" i="2" s="1"/>
  <c r="G103" i="2" s="1"/>
  <c r="K26" i="86" l="1"/>
  <c r="K35" i="86" s="1"/>
  <c r="E62" i="2" s="1"/>
  <c r="E63" i="2" s="1"/>
  <c r="G108" i="2"/>
  <c r="G92" i="2"/>
  <c r="G97" i="2" s="1"/>
  <c r="G91" i="2"/>
  <c r="G96" i="2" s="1"/>
  <c r="L26" i="86"/>
  <c r="H30" i="88"/>
  <c r="C43" i="87" s="1"/>
  <c r="G9" i="4" s="1"/>
  <c r="J45" i="86"/>
  <c r="K45" i="86" s="1"/>
  <c r="L45" i="86"/>
  <c r="H60" i="3"/>
  <c r="H11" i="3"/>
  <c r="F90" i="130"/>
  <c r="F92" i="130"/>
  <c r="F91" i="130"/>
  <c r="J42" i="86"/>
  <c r="L42" i="86"/>
  <c r="F93" i="130"/>
  <c r="F27" i="18"/>
  <c r="G94" i="130"/>
  <c r="G8" i="4"/>
  <c r="F106" i="2"/>
  <c r="E34" i="18"/>
  <c r="G65" i="130"/>
  <c r="F65" i="130" s="1"/>
  <c r="E107" i="2"/>
  <c r="D90" i="14"/>
  <c r="C25" i="87" s="1"/>
  <c r="C27" i="87" s="1"/>
  <c r="C38" i="87" s="1"/>
  <c r="C39" i="87" s="1"/>
  <c r="E101" i="2" s="1"/>
  <c r="E103" i="2" s="1"/>
  <c r="F9" i="4"/>
  <c r="H10" i="4"/>
  <c r="G10" i="4" l="1"/>
  <c r="F107" i="2"/>
  <c r="F108" i="2" s="1"/>
  <c r="F92" i="2"/>
  <c r="F97" i="2" s="1"/>
  <c r="F91" i="2"/>
  <c r="C46" i="87"/>
  <c r="C57" i="87" s="1"/>
  <c r="C58" i="87" s="1"/>
  <c r="F101" i="2" s="1"/>
  <c r="F103" i="2" s="1"/>
  <c r="F6" i="3"/>
  <c r="E65" i="2"/>
  <c r="F7" i="3" s="1"/>
  <c r="J51" i="86"/>
  <c r="K42" i="86"/>
  <c r="K51" i="86" s="1"/>
  <c r="F62" i="2" s="1"/>
  <c r="F63" i="2" s="1"/>
  <c r="H30" i="3"/>
  <c r="H61" i="3"/>
  <c r="F31" i="18"/>
  <c r="G96" i="130"/>
  <c r="E35" i="18"/>
  <c r="G69" i="130" s="1"/>
  <c r="E38" i="18"/>
  <c r="G68" i="130"/>
  <c r="F8" i="4"/>
  <c r="F10" i="4" s="1"/>
  <c r="E106" i="2"/>
  <c r="G93" i="2"/>
  <c r="G98" i="2"/>
  <c r="G104" i="2" s="1"/>
  <c r="E92" i="2" l="1"/>
  <c r="E97" i="2" s="1"/>
  <c r="E91" i="2"/>
  <c r="F9" i="3"/>
  <c r="E60" i="2"/>
  <c r="F34" i="18"/>
  <c r="G100" i="130"/>
  <c r="F100" i="130" s="1"/>
  <c r="H62" i="3"/>
  <c r="H32" i="3"/>
  <c r="H34" i="3" s="1"/>
  <c r="H45" i="3"/>
  <c r="H48" i="3" s="1"/>
  <c r="G6" i="3"/>
  <c r="F65" i="2"/>
  <c r="F96" i="2"/>
  <c r="F98" i="2" s="1"/>
  <c r="F93" i="2"/>
  <c r="E39" i="18"/>
  <c r="G73" i="130" s="1"/>
  <c r="G72" i="130"/>
  <c r="E108" i="2"/>
  <c r="H23" i="4"/>
  <c r="H24" i="4" s="1"/>
  <c r="H36" i="4" s="1"/>
  <c r="F60" i="3" l="1"/>
  <c r="D76" i="31"/>
  <c r="F11" i="3"/>
  <c r="G7" i="3"/>
  <c r="G9" i="3" s="1"/>
  <c r="G23" i="4" s="1"/>
  <c r="G24" i="4" s="1"/>
  <c r="G36" i="4" s="1"/>
  <c r="H11" i="5" s="1"/>
  <c r="F60" i="2"/>
  <c r="H8" i="5"/>
  <c r="H7" i="5" s="1"/>
  <c r="H63" i="3"/>
  <c r="H39" i="3"/>
  <c r="F35" i="18"/>
  <c r="G104" i="130" s="1"/>
  <c r="F38" i="18"/>
  <c r="G103" i="130"/>
  <c r="F104" i="2"/>
  <c r="E93" i="2"/>
  <c r="E96" i="2"/>
  <c r="E98" i="2" s="1"/>
  <c r="F61" i="3" l="1"/>
  <c r="F39" i="18"/>
  <c r="G108" i="130" s="1"/>
  <c r="G107" i="130"/>
  <c r="G60" i="3"/>
  <c r="G11" i="3"/>
  <c r="E104" i="2"/>
  <c r="F23" i="4"/>
  <c r="F24" i="4" s="1"/>
  <c r="F36" i="4" s="1"/>
  <c r="G30" i="3" l="1"/>
  <c r="G61" i="3"/>
  <c r="F11" i="5"/>
  <c r="G11" i="5"/>
  <c r="G62" i="3" l="1"/>
  <c r="G32" i="3"/>
  <c r="G34" i="3" s="1"/>
  <c r="G45" i="3"/>
  <c r="G48" i="3" s="1"/>
  <c r="P49" i="96"/>
  <c r="G63" i="3" l="1"/>
  <c r="G8" i="5"/>
  <c r="G7" i="5" s="1"/>
  <c r="G39" i="3"/>
  <c r="F13" i="96"/>
  <c r="I13" i="96"/>
  <c r="E13" i="96"/>
  <c r="E16" i="96" l="1"/>
  <c r="F15" i="96" s="1"/>
  <c r="P13" i="96"/>
  <c r="E18" i="96"/>
  <c r="E17" i="96" l="1"/>
  <c r="E24" i="96" s="1"/>
  <c r="E27" i="96" s="1"/>
  <c r="F18" i="96"/>
  <c r="F16" i="96"/>
  <c r="G15" i="96" l="1"/>
  <c r="G18" i="96" s="1"/>
  <c r="F17" i="96"/>
  <c r="F24" i="96" l="1"/>
  <c r="G16" i="96"/>
  <c r="H15" i="96" l="1"/>
  <c r="G17" i="96"/>
  <c r="F27" i="96"/>
  <c r="G24" i="96" l="1"/>
  <c r="H16" i="96"/>
  <c r="H18" i="96"/>
  <c r="I15" i="96" l="1"/>
  <c r="H17" i="96"/>
  <c r="G27" i="96"/>
  <c r="H24" i="96" l="1"/>
  <c r="I16" i="96"/>
  <c r="I18" i="96"/>
  <c r="J15" i="96" l="1"/>
  <c r="I17" i="96"/>
  <c r="H27" i="96"/>
  <c r="I24" i="96" l="1"/>
  <c r="J16" i="96"/>
  <c r="J18" i="96"/>
  <c r="K15" i="96" l="1"/>
  <c r="J17" i="96"/>
  <c r="I27" i="96"/>
  <c r="J24" i="96" l="1"/>
  <c r="K16" i="96"/>
  <c r="K18" i="96"/>
  <c r="L15" i="96" l="1"/>
  <c r="K17" i="96"/>
  <c r="J27" i="96"/>
  <c r="K24" i="96" l="1"/>
  <c r="L16" i="96"/>
  <c r="L18" i="96"/>
  <c r="M15" i="96" l="1"/>
  <c r="L17" i="96"/>
  <c r="K27" i="96"/>
  <c r="L24" i="96" l="1"/>
  <c r="M16" i="96"/>
  <c r="M18" i="96"/>
  <c r="N15" i="96" l="1"/>
  <c r="M17" i="96"/>
  <c r="L27" i="96"/>
  <c r="M24" i="96" l="1"/>
  <c r="N16" i="96"/>
  <c r="N18" i="96"/>
  <c r="O15" i="96" l="1"/>
  <c r="N17" i="96"/>
  <c r="M27" i="96"/>
  <c r="N24" i="96" l="1"/>
  <c r="O16" i="96"/>
  <c r="O18" i="96"/>
  <c r="P18" i="96" s="1"/>
  <c r="O17" i="96" l="1"/>
  <c r="O24" i="96" s="1"/>
  <c r="O27" i="96" s="1"/>
  <c r="N27" i="96"/>
  <c r="P17" i="96" l="1"/>
  <c r="P24" i="96"/>
  <c r="P27" i="96" s="1"/>
  <c r="R69" i="127" l="1"/>
  <c r="R96" i="127" s="1"/>
  <c r="R104" i="127" s="1"/>
  <c r="R108" i="127" l="1"/>
  <c r="G8" i="127"/>
  <c r="E12" i="46" s="1"/>
  <c r="E72" i="2"/>
  <c r="F17" i="3" l="1"/>
  <c r="F65" i="3" s="1"/>
  <c r="E81" i="2"/>
  <c r="F27" i="3" l="1"/>
  <c r="F30" i="3" s="1"/>
  <c r="F32" i="3" l="1"/>
  <c r="F34" i="3" s="1"/>
  <c r="F45" i="3"/>
  <c r="F62" i="3"/>
  <c r="F48" i="3" l="1"/>
  <c r="F49" i="3" a="1"/>
  <c r="F49" i="3" s="1"/>
  <c r="F54" i="3" s="1"/>
  <c r="F55" i="3" s="1"/>
  <c r="F56" i="3" s="1"/>
  <c r="F10" i="5" s="1"/>
  <c r="F13" i="4" s="1"/>
  <c r="F20" i="4" s="1"/>
  <c r="F8" i="5"/>
  <c r="F7" i="5" s="1"/>
  <c r="F63" i="3"/>
  <c r="F39" i="3"/>
  <c r="F13" i="5" l="1"/>
  <c r="F50" i="3"/>
  <c r="G47" i="3" s="1"/>
  <c r="F52" i="3"/>
  <c r="F17" i="5" l="1"/>
  <c r="F40" i="3"/>
  <c r="F41" i="3" s="1"/>
  <c r="F28" i="4" s="1"/>
  <c r="E8" i="116"/>
  <c r="F27" i="4"/>
  <c r="G49" i="3" a="1"/>
  <c r="G49" i="3" s="1"/>
  <c r="G52" i="3" s="1"/>
  <c r="G38" i="3" l="1"/>
  <c r="F29" i="4"/>
  <c r="F31" i="4" s="1"/>
  <c r="F34" i="4" s="1"/>
  <c r="G50" i="3"/>
  <c r="H47" i="3" s="1"/>
  <c r="G54" i="3"/>
  <c r="G55" i="3" s="1"/>
  <c r="G56" i="3" s="1"/>
  <c r="G10" i="5" s="1"/>
  <c r="G13" i="4" l="1"/>
  <c r="G20" i="4" s="1"/>
  <c r="G13" i="5"/>
  <c r="H49" i="3" a="1"/>
  <c r="H49" i="3" s="1"/>
  <c r="H54" i="3" s="1"/>
  <c r="H55" i="3" s="1"/>
  <c r="H56" i="3" s="1"/>
  <c r="H10" i="5" s="1"/>
  <c r="H50" i="3" l="1"/>
  <c r="I47" i="3" s="1"/>
  <c r="H52" i="3"/>
  <c r="H13" i="4"/>
  <c r="H13" i="5"/>
  <c r="G40" i="3"/>
  <c r="G41" i="3" s="1"/>
  <c r="E9" i="116"/>
  <c r="G17" i="5"/>
  <c r="G27" i="4"/>
  <c r="H38" i="3" l="1"/>
  <c r="G28" i="4"/>
  <c r="G29" i="4" s="1"/>
  <c r="G31" i="4" s="1"/>
  <c r="G34" i="4" s="1"/>
  <c r="H17" i="5"/>
  <c r="E10" i="116"/>
  <c r="H40" i="3"/>
  <c r="H27" i="4"/>
  <c r="I13" i="4"/>
  <c r="H20" i="4"/>
  <c r="H41" i="3" l="1"/>
  <c r="I38" i="3" s="1"/>
  <c r="H28" i="4" l="1"/>
  <c r="H29" i="4" s="1"/>
  <c r="H31" i="4" s="1"/>
  <c r="H34" i="4" s="1"/>
  <c r="O32" i="51" l="1"/>
  <c r="T235" i="127" s="1"/>
  <c r="T286" i="127" l="1"/>
  <c r="T294" i="127" s="1"/>
  <c r="H13" i="18" l="1"/>
  <c r="H16" i="18" s="1"/>
  <c r="H33" i="18" s="1"/>
  <c r="J7" i="127"/>
  <c r="H11" i="46" s="1"/>
  <c r="G10" i="50"/>
  <c r="G13" i="50" s="1"/>
  <c r="G14" i="50" s="1"/>
  <c r="G15" i="50" l="1"/>
  <c r="G80" i="31" l="1"/>
  <c r="G82" i="31" s="1"/>
  <c r="G67" i="31"/>
  <c r="G84" i="31"/>
  <c r="D72" i="73" s="1"/>
  <c r="E72" i="73" s="1"/>
  <c r="D71" i="73"/>
  <c r="E71" i="73" s="1"/>
  <c r="G49" i="31"/>
  <c r="D44" i="94"/>
  <c r="E44" i="94" s="1"/>
  <c r="H40" i="2"/>
  <c r="H37" i="2" s="1"/>
  <c r="D166" i="51"/>
  <c r="H36" i="2"/>
  <c r="H35" i="2"/>
  <c r="G17" i="50"/>
  <c r="I19" i="48" s="1"/>
  <c r="H44" i="2"/>
  <c r="F153" i="130"/>
  <c r="G153" i="130" s="1"/>
  <c r="G154" i="130" s="1"/>
  <c r="G155" i="130" s="1"/>
  <c r="G156" i="130" s="1"/>
  <c r="E73" i="73" l="1"/>
  <c r="I24" i="3" s="1"/>
  <c r="H43" i="2"/>
  <c r="H42" i="2"/>
  <c r="H41" i="2"/>
  <c r="H38" i="2"/>
  <c r="H39" i="2"/>
  <c r="F44" i="94"/>
  <c r="G44" i="94" s="1"/>
  <c r="B90" i="94"/>
  <c r="M87" i="94"/>
  <c r="G14" i="94" s="1"/>
  <c r="G33" i="94" s="1"/>
  <c r="H33" i="2"/>
  <c r="H32" i="2"/>
  <c r="H34" i="2"/>
  <c r="G50" i="31"/>
  <c r="G51" i="31"/>
  <c r="G52" i="31"/>
  <c r="E31" i="96"/>
  <c r="E37" i="96" s="1"/>
  <c r="I31" i="96"/>
  <c r="I37" i="96" s="1"/>
  <c r="K31" i="96"/>
  <c r="K37" i="96" s="1"/>
  <c r="L31" i="96"/>
  <c r="L37" i="96" s="1"/>
  <c r="N40" i="82"/>
  <c r="G31" i="96"/>
  <c r="G37" i="96" s="1"/>
  <c r="H31" i="96"/>
  <c r="H37" i="96" s="1"/>
  <c r="F31" i="96"/>
  <c r="F37" i="96" s="1"/>
  <c r="G173" i="130"/>
  <c r="J31" i="96"/>
  <c r="J37" i="96" s="1"/>
  <c r="D31" i="96"/>
  <c r="P31" i="96"/>
  <c r="H73" i="2"/>
  <c r="H45" i="2"/>
  <c r="I11" i="73" l="1"/>
  <c r="I12" i="73" s="1"/>
  <c r="G34" i="94"/>
  <c r="G36" i="94"/>
  <c r="G35" i="94"/>
  <c r="G53" i="31"/>
  <c r="G55" i="31" s="1"/>
  <c r="G54" i="31"/>
  <c r="G56" i="31" s="1"/>
  <c r="N42" i="82"/>
  <c r="I47" i="82" s="1"/>
  <c r="N41" i="82"/>
  <c r="N43" i="82" s="1"/>
  <c r="D70" i="86"/>
  <c r="H47" i="2"/>
  <c r="H49" i="2" s="1"/>
  <c r="H31" i="2"/>
  <c r="I5" i="3"/>
  <c r="H87" i="2"/>
  <c r="I18" i="3"/>
  <c r="I65" i="3" s="1"/>
  <c r="H81" i="2"/>
  <c r="D37" i="96"/>
  <c r="C40" i="96"/>
  <c r="D39" i="96" s="1"/>
  <c r="H86" i="2"/>
  <c r="G31" i="14" l="1"/>
  <c r="G37" i="14" s="1"/>
  <c r="G38" i="14" s="1"/>
  <c r="U32" i="14"/>
  <c r="E75" i="86"/>
  <c r="F75" i="86" s="1"/>
  <c r="E76" i="86"/>
  <c r="F76" i="86" s="1"/>
  <c r="H76" i="86" s="1"/>
  <c r="U13" i="14"/>
  <c r="AB72" i="14"/>
  <c r="G13" i="14"/>
  <c r="U51" i="14"/>
  <c r="G32" i="14"/>
  <c r="U12" i="14"/>
  <c r="U18" i="14" s="1"/>
  <c r="U24" i="14" s="1"/>
  <c r="G12" i="14"/>
  <c r="G18" i="14" s="1"/>
  <c r="AB50" i="14"/>
  <c r="AB56" i="14" s="1"/>
  <c r="AB57" i="14" s="1"/>
  <c r="N50" i="14"/>
  <c r="N56" i="14" s="1"/>
  <c r="N62" i="14" s="1"/>
  <c r="C42" i="88"/>
  <c r="C87" i="87" s="1"/>
  <c r="AB31" i="14"/>
  <c r="AB37" i="14" s="1"/>
  <c r="AB43" i="14" s="1"/>
  <c r="N31" i="14"/>
  <c r="N37" i="14" s="1"/>
  <c r="N43" i="14" s="1"/>
  <c r="AB53" i="14"/>
  <c r="U69" i="14"/>
  <c r="U75" i="14" s="1"/>
  <c r="U76" i="14" s="1"/>
  <c r="AB32" i="14"/>
  <c r="N13" i="14"/>
  <c r="AB51" i="14"/>
  <c r="N51" i="14"/>
  <c r="U72" i="14"/>
  <c r="G51" i="14"/>
  <c r="G69" i="14"/>
  <c r="G75" i="14" s="1"/>
  <c r="G81" i="14" s="1"/>
  <c r="AB69" i="14"/>
  <c r="AB75" i="14" s="1"/>
  <c r="AB76" i="14" s="1"/>
  <c r="N32" i="14"/>
  <c r="G72" i="14"/>
  <c r="AB13" i="14"/>
  <c r="N14" i="14"/>
  <c r="N72" i="14"/>
  <c r="U50" i="14"/>
  <c r="U56" i="14" s="1"/>
  <c r="U62" i="14" s="1"/>
  <c r="N69" i="14"/>
  <c r="N75" i="14" s="1"/>
  <c r="N76" i="14" s="1"/>
  <c r="G50" i="14"/>
  <c r="G56" i="14" s="1"/>
  <c r="G62" i="14" s="1"/>
  <c r="U31" i="14"/>
  <c r="U37" i="14" s="1"/>
  <c r="U38" i="14" s="1"/>
  <c r="N12" i="14"/>
  <c r="N18" i="14" s="1"/>
  <c r="N24" i="14" s="1"/>
  <c r="H88" i="2"/>
  <c r="I7" i="4" s="1"/>
  <c r="E74" i="86"/>
  <c r="F74" i="86" s="1"/>
  <c r="H74" i="86" s="1"/>
  <c r="J74" i="86" s="1"/>
  <c r="K74" i="86" s="1"/>
  <c r="E73" i="86"/>
  <c r="F73" i="86" s="1"/>
  <c r="H73" i="86" s="1"/>
  <c r="J73" i="86" s="1"/>
  <c r="E72" i="86"/>
  <c r="F72" i="86" s="1"/>
  <c r="H72" i="86" s="1"/>
  <c r="J72" i="86" s="1"/>
  <c r="K72" i="86" s="1"/>
  <c r="E81" i="86"/>
  <c r="F81" i="86" s="1"/>
  <c r="H81" i="86" s="1"/>
  <c r="J81" i="86" s="1"/>
  <c r="K81" i="86" s="1"/>
  <c r="H75" i="86"/>
  <c r="J75" i="86" s="1"/>
  <c r="K75" i="86" s="1"/>
  <c r="L75" i="86"/>
  <c r="R297" i="127"/>
  <c r="R298" i="127" s="1"/>
  <c r="I6" i="4"/>
  <c r="E78" i="86"/>
  <c r="F78" i="86" s="1"/>
  <c r="H78" i="86" s="1"/>
  <c r="I48" i="82"/>
  <c r="I46" i="82"/>
  <c r="I23" i="3"/>
  <c r="E80" i="86"/>
  <c r="F80" i="86" s="1"/>
  <c r="D40" i="96"/>
  <c r="E39" i="96" s="1"/>
  <c r="E77" i="86"/>
  <c r="F77" i="86" s="1"/>
  <c r="H77" i="86" s="1"/>
  <c r="P37" i="96"/>
  <c r="D42" i="96"/>
  <c r="E79" i="86"/>
  <c r="F79" i="86" s="1"/>
  <c r="H79" i="86" s="1"/>
  <c r="I27" i="3" l="1"/>
  <c r="I64" i="3"/>
  <c r="U19" i="14"/>
  <c r="G43" i="14"/>
  <c r="N57" i="14"/>
  <c r="G14" i="14"/>
  <c r="G71" i="31"/>
  <c r="G73" i="31" s="1"/>
  <c r="G75" i="31" s="1"/>
  <c r="AB62" i="14"/>
  <c r="AB38" i="14"/>
  <c r="D42" i="88"/>
  <c r="D44" i="88" s="1"/>
  <c r="N34" i="14"/>
  <c r="N71" i="14"/>
  <c r="G53" i="14"/>
  <c r="N38" i="14"/>
  <c r="U34" i="14"/>
  <c r="G34" i="14"/>
  <c r="U71" i="14"/>
  <c r="N53" i="14"/>
  <c r="E43" i="88"/>
  <c r="AB15" i="14"/>
  <c r="AB34" i="14"/>
  <c r="U15" i="14"/>
  <c r="N15" i="14"/>
  <c r="N20" i="14" s="1"/>
  <c r="N25" i="14" s="1"/>
  <c r="N26" i="14" s="1"/>
  <c r="AB71" i="14"/>
  <c r="U81" i="14"/>
  <c r="G71" i="14"/>
  <c r="AB81" i="14"/>
  <c r="U53" i="14"/>
  <c r="G15" i="14"/>
  <c r="G76" i="14"/>
  <c r="U52" i="14"/>
  <c r="U70" i="14"/>
  <c r="G70" i="14"/>
  <c r="N52" i="14"/>
  <c r="G33" i="14"/>
  <c r="AB33" i="14"/>
  <c r="N70" i="14"/>
  <c r="U14" i="14"/>
  <c r="G52" i="14"/>
  <c r="AB70" i="14"/>
  <c r="N33" i="14"/>
  <c r="U33" i="14"/>
  <c r="G57" i="14"/>
  <c r="N81" i="14"/>
  <c r="AB14" i="14"/>
  <c r="AB52" i="14"/>
  <c r="AB58" i="14" s="1"/>
  <c r="AB63" i="14" s="1"/>
  <c r="U57" i="14"/>
  <c r="N19" i="14"/>
  <c r="U43" i="14"/>
  <c r="L81" i="86"/>
  <c r="F83" i="86"/>
  <c r="H80" i="86"/>
  <c r="J80" i="86" s="1"/>
  <c r="K80" i="86" s="1"/>
  <c r="L80" i="86"/>
  <c r="C90" i="87"/>
  <c r="C93" i="87"/>
  <c r="E42" i="96"/>
  <c r="E40" i="96"/>
  <c r="F39" i="96" s="1"/>
  <c r="G19" i="14"/>
  <c r="G24" i="14"/>
  <c r="D41" i="96"/>
  <c r="K73" i="86"/>
  <c r="AB64" i="14" l="1"/>
  <c r="H64" i="2"/>
  <c r="I8" i="3" s="1"/>
  <c r="G20" i="14"/>
  <c r="G25" i="14" s="1"/>
  <c r="G26" i="14" s="1"/>
  <c r="N39" i="14"/>
  <c r="N44" i="14" s="1"/>
  <c r="N45" i="14" s="1"/>
  <c r="H24" i="18"/>
  <c r="G164" i="130" s="1"/>
  <c r="G39" i="14"/>
  <c r="G44" i="14" s="1"/>
  <c r="G45" i="14" s="1"/>
  <c r="N77" i="14"/>
  <c r="N82" i="14" s="1"/>
  <c r="N83" i="14" s="1"/>
  <c r="C94" i="87"/>
  <c r="G41" i="31"/>
  <c r="F42" i="88"/>
  <c r="H42" i="88" s="1"/>
  <c r="C48" i="96"/>
  <c r="O48" i="96" s="1"/>
  <c r="O51" i="96" s="1"/>
  <c r="I77" i="86"/>
  <c r="I79" i="86"/>
  <c r="J79" i="86" s="1"/>
  <c r="K79" i="86" s="1"/>
  <c r="U20" i="14"/>
  <c r="U25" i="14" s="1"/>
  <c r="U26" i="14" s="1"/>
  <c r="U77" i="14"/>
  <c r="U82" i="14" s="1"/>
  <c r="U83" i="14" s="1"/>
  <c r="N58" i="14"/>
  <c r="N63" i="14" s="1"/>
  <c r="N64" i="14" s="1"/>
  <c r="AB39" i="14"/>
  <c r="AB44" i="14" s="1"/>
  <c r="AB45" i="14" s="1"/>
  <c r="H21" i="18"/>
  <c r="H25" i="18" s="1"/>
  <c r="H27" i="18" s="1"/>
  <c r="H31" i="18" s="1"/>
  <c r="H34" i="18" s="1"/>
  <c r="H38" i="18" s="1"/>
  <c r="H39" i="18" s="1"/>
  <c r="F43" i="88"/>
  <c r="H43" i="88" s="1"/>
  <c r="I78" i="86"/>
  <c r="L78" i="86" s="1"/>
  <c r="U39" i="14"/>
  <c r="U44" i="14" s="1"/>
  <c r="U45" i="14" s="1"/>
  <c r="F44" i="88"/>
  <c r="H44" i="88" s="1"/>
  <c r="I76" i="86"/>
  <c r="L76" i="86" s="1"/>
  <c r="F45" i="88"/>
  <c r="AB77" i="14"/>
  <c r="AB82" i="14" s="1"/>
  <c r="AB83" i="14" s="1"/>
  <c r="G58" i="14"/>
  <c r="G63" i="14" s="1"/>
  <c r="G64" i="14" s="1"/>
  <c r="U58" i="14"/>
  <c r="U63" i="14" s="1"/>
  <c r="U64" i="14" s="1"/>
  <c r="AB20" i="14"/>
  <c r="AB25" i="14" s="1"/>
  <c r="AB26" i="14" s="1"/>
  <c r="G77" i="14"/>
  <c r="G82" i="14" s="1"/>
  <c r="G83" i="14" s="1"/>
  <c r="N22" i="14"/>
  <c r="E41" i="96"/>
  <c r="F42" i="96"/>
  <c r="AB60" i="14"/>
  <c r="F40" i="96"/>
  <c r="G39" i="96" s="1"/>
  <c r="N41" i="14" l="1"/>
  <c r="G22" i="14"/>
  <c r="N79" i="14"/>
  <c r="G41" i="14"/>
  <c r="N60" i="14"/>
  <c r="N48" i="96"/>
  <c r="N51" i="96" s="1"/>
  <c r="M48" i="96"/>
  <c r="M51" i="96" s="1"/>
  <c r="D48" i="96"/>
  <c r="D51" i="96" s="1"/>
  <c r="L79" i="86"/>
  <c r="E48" i="96"/>
  <c r="E51" i="96" s="1"/>
  <c r="G44" i="31"/>
  <c r="G43" i="31"/>
  <c r="U79" i="14"/>
  <c r="U22" i="14"/>
  <c r="J77" i="86"/>
  <c r="K77" i="86" s="1"/>
  <c r="L77" i="86"/>
  <c r="G161" i="130"/>
  <c r="F163" i="130" s="1"/>
  <c r="AB41" i="14"/>
  <c r="J76" i="86"/>
  <c r="K76" i="86" s="1"/>
  <c r="J78" i="86"/>
  <c r="K78" i="86" s="1"/>
  <c r="AB79" i="14"/>
  <c r="AB22" i="14"/>
  <c r="U41" i="14"/>
  <c r="H35" i="18"/>
  <c r="H46" i="88"/>
  <c r="C81" i="87" s="1"/>
  <c r="U60" i="14"/>
  <c r="G60" i="14"/>
  <c r="G79" i="14"/>
  <c r="G42" i="96"/>
  <c r="F41" i="96"/>
  <c r="F48" i="96" s="1"/>
  <c r="F51" i="96" s="1"/>
  <c r="G90" i="14"/>
  <c r="C82" i="87" s="1"/>
  <c r="H106" i="2" s="1"/>
  <c r="H92" i="2" s="1"/>
  <c r="G40" i="96"/>
  <c r="H39" i="96" s="1"/>
  <c r="G165" i="130"/>
  <c r="F164" i="130" l="1"/>
  <c r="F162" i="130"/>
  <c r="F161" i="130"/>
  <c r="J83" i="86"/>
  <c r="K83" i="86"/>
  <c r="H62" i="2" s="1"/>
  <c r="H63" i="2" s="1"/>
  <c r="H65" i="2" s="1"/>
  <c r="H91" i="2"/>
  <c r="H107" i="2"/>
  <c r="H108" i="2" s="1"/>
  <c r="I8" i="4"/>
  <c r="H40" i="96"/>
  <c r="I39" i="96" s="1"/>
  <c r="G41" i="96"/>
  <c r="H42" i="96"/>
  <c r="H97" i="2"/>
  <c r="C84" i="87"/>
  <c r="C95" i="87" s="1"/>
  <c r="C96" i="87" s="1"/>
  <c r="H101" i="2" s="1"/>
  <c r="I9" i="4"/>
  <c r="G167" i="130"/>
  <c r="I6" i="3" l="1"/>
  <c r="I10" i="4"/>
  <c r="I7" i="3"/>
  <c r="H60" i="2"/>
  <c r="H41" i="96"/>
  <c r="H48" i="96" s="1"/>
  <c r="H51" i="96" s="1"/>
  <c r="H96" i="2"/>
  <c r="H98" i="2" s="1"/>
  <c r="H93" i="2"/>
  <c r="I42" i="96"/>
  <c r="G48" i="96"/>
  <c r="H103" i="2"/>
  <c r="G171" i="130"/>
  <c r="F171" i="130" s="1"/>
  <c r="I40" i="96"/>
  <c r="J39" i="96" s="1"/>
  <c r="I20" i="4" l="1"/>
  <c r="I9" i="3"/>
  <c r="I23" i="4" s="1"/>
  <c r="I24" i="4" s="1"/>
  <c r="I36" i="4" s="1"/>
  <c r="I11" i="5" s="1"/>
  <c r="H104" i="2"/>
  <c r="I41" i="96"/>
  <c r="I48" i="96" s="1"/>
  <c r="I51" i="96" s="1"/>
  <c r="G51" i="96"/>
  <c r="G174" i="130"/>
  <c r="G175" i="130"/>
  <c r="J42" i="96"/>
  <c r="J40" i="96"/>
  <c r="K39" i="96" s="1"/>
  <c r="I60" i="3" l="1"/>
  <c r="I11" i="3"/>
  <c r="K42" i="96"/>
  <c r="K40" i="96"/>
  <c r="L39" i="96" s="1"/>
  <c r="J41" i="96"/>
  <c r="G179" i="130"/>
  <c r="G178" i="130"/>
  <c r="I61" i="3" l="1"/>
  <c r="I30" i="3"/>
  <c r="I62" i="3" s="1"/>
  <c r="L42" i="96"/>
  <c r="J48" i="96"/>
  <c r="L40" i="96"/>
  <c r="M39" i="96" s="1"/>
  <c r="K41" i="96"/>
  <c r="K48" i="96" s="1"/>
  <c r="K51" i="96" s="1"/>
  <c r="I45" i="3" l="1"/>
  <c r="I48" i="3" s="1"/>
  <c r="I32" i="3"/>
  <c r="I34" i="3" s="1"/>
  <c r="I8" i="5" s="1"/>
  <c r="I7" i="5" s="1"/>
  <c r="L41" i="96"/>
  <c r="L48" i="96" s="1"/>
  <c r="L51" i="96" s="1"/>
  <c r="M40" i="96"/>
  <c r="N39" i="96" s="1"/>
  <c r="J51" i="96"/>
  <c r="M42" i="96"/>
  <c r="I63" i="3" l="1"/>
  <c r="I39" i="3"/>
  <c r="I49" i="3" a="1"/>
  <c r="I49" i="3" s="1"/>
  <c r="I54" i="3" s="1"/>
  <c r="I55" i="3" s="1"/>
  <c r="I56" i="3" s="1"/>
  <c r="I10" i="5" s="1"/>
  <c r="I13" i="5" s="1"/>
  <c r="C180" i="132" s="1"/>
  <c r="D180" i="132" s="1"/>
  <c r="P48" i="96"/>
  <c r="P51" i="96" s="1"/>
  <c r="N42" i="96"/>
  <c r="N40" i="96"/>
  <c r="O39" i="96" s="1"/>
  <c r="M41" i="96"/>
  <c r="I52" i="3" l="1"/>
  <c r="I50" i="3"/>
  <c r="O42" i="96"/>
  <c r="P42" i="96" s="1"/>
  <c r="I40" i="3"/>
  <c r="E11" i="116"/>
  <c r="E12" i="116" s="1"/>
  <c r="I27" i="4"/>
  <c r="N41" i="96"/>
  <c r="O40" i="96"/>
  <c r="O41" i="96" s="1"/>
  <c r="G12" i="116" l="1"/>
  <c r="C181" i="132"/>
  <c r="D181" i="132" s="1"/>
  <c r="I41" i="3"/>
  <c r="I28" i="4" s="1"/>
  <c r="I29" i="4" s="1"/>
  <c r="I31" i="4" s="1"/>
  <c r="I34" i="4" s="1"/>
  <c r="E38" i="4"/>
  <c r="E13" i="116"/>
  <c r="G13" i="116" s="1"/>
  <c r="P41" i="96"/>
  <c r="E14" i="116" l="1"/>
  <c r="G14" i="116" s="1"/>
  <c r="E15" i="116" l="1"/>
  <c r="G15" i="116" s="1"/>
  <c r="E16" i="116" l="1"/>
  <c r="G16" i="116" s="1"/>
  <c r="E17" i="116" l="1"/>
  <c r="G17" i="116" s="1"/>
  <c r="E18" i="116" l="1"/>
  <c r="G18" i="116" s="1"/>
  <c r="E19" i="116" l="1"/>
  <c r="G19" i="116" s="1"/>
  <c r="E23" i="116" s="1"/>
  <c r="I15" i="5" l="1"/>
  <c r="I17" i="5" l="1"/>
  <c r="C19" i="5" s="1"/>
  <c r="C21"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Matthew Mullen</author>
  </authors>
  <commentList>
    <comment ref="C24" authorId="0" shapeId="0" xr:uid="{BF75FF81-E423-4041-BD68-E9F2A68D9302}">
      <text>
        <r>
          <rPr>
            <b/>
            <sz val="9"/>
            <color rgb="FF000000"/>
            <rFont val="Tahoma"/>
            <family val="2"/>
          </rPr>
          <t>Matthew Mullen:</t>
        </r>
        <r>
          <rPr>
            <sz val="9"/>
            <color rgb="FF000000"/>
            <rFont val="Tahoma"/>
            <family val="2"/>
          </rPr>
          <t xml:space="preserve">
</t>
        </r>
        <r>
          <rPr>
            <sz val="9"/>
            <color rgb="FF000000"/>
            <rFont val="Tahoma"/>
            <family val="2"/>
          </rPr>
          <t>Assumption of 15% of Year 1 Marketing Expenses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Matthew Mullen</author>
  </authors>
  <commentList>
    <comment ref="E5" authorId="0" shapeId="0" xr:uid="{784B7537-1925-40BF-A627-F1E509A9F0E3}">
      <text>
        <r>
          <rPr>
            <b/>
            <sz val="9"/>
            <color rgb="FF000000"/>
            <rFont val="Tahoma"/>
            <family val="2"/>
          </rPr>
          <t>Matthew Mullen:</t>
        </r>
        <r>
          <rPr>
            <sz val="9"/>
            <color rgb="FF000000"/>
            <rFont val="Tahoma"/>
            <family val="2"/>
          </rPr>
          <t xml:space="preserve">
</t>
        </r>
        <r>
          <rPr>
            <sz val="9"/>
            <color rgb="FF000000"/>
            <rFont val="Tahoma"/>
            <family val="2"/>
          </rPr>
          <t>Added Short Term Borrowings and Long Term Debt to arrive at a value of 2,856. Numbers taken from 2020 Annual Report</t>
        </r>
      </text>
    </comment>
    <comment ref="E6" authorId="0" shapeId="0" xr:uid="{DE78024C-7A06-4A3A-9038-B53225E36481}">
      <text>
        <r>
          <rPr>
            <b/>
            <sz val="9"/>
            <color rgb="FF000000"/>
            <rFont val="Tahoma"/>
            <family val="2"/>
          </rPr>
          <t>Matthew Mullen:</t>
        </r>
        <r>
          <rPr>
            <sz val="9"/>
            <color rgb="FF000000"/>
            <rFont val="Tahoma"/>
            <family val="2"/>
          </rPr>
          <t xml:space="preserve">
</t>
        </r>
        <r>
          <rPr>
            <sz val="9"/>
            <color rgb="FF000000"/>
            <rFont val="Tahoma"/>
            <family val="2"/>
          </rPr>
          <t>Added Current portion long-term debt, net of unamortized discount and Long-term debt, net of unamortized discount. Numbers taken from 2020 Annual Report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Matthew Mullen</author>
  </authors>
  <commentList>
    <comment ref="D12" authorId="0" shapeId="0" xr:uid="{D94E0CC4-6BEA-4317-A247-B82C0DCBD144}">
      <text>
        <r>
          <rPr>
            <b/>
            <sz val="9"/>
            <color indexed="81"/>
            <rFont val="Tahoma"/>
            <family val="2"/>
          </rPr>
          <t>Matthew Mullen:</t>
        </r>
        <r>
          <rPr>
            <sz val="9"/>
            <color indexed="81"/>
            <rFont val="Tahoma"/>
            <family val="2"/>
          </rPr>
          <t xml:space="preserve">
Increasing Rate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tc={D153A17F-F495-4D39-83C5-7DE3DA73F6E3}</author>
  </authors>
  <commentList>
    <comment ref="E20" authorId="0" shapeId="0" xr:uid="{D153A17F-F495-4D39-83C5-7DE3DA73F6E3}">
      <text>
        <t>[Threaded comment]
Your version of Excel allows you to read this threaded comment; however, any edits to it will get removed if the file is opened in a newer version of Excel. Learn more: https://go.microsoft.com/fwlink/?linkid=870924
Comment:
    Tax not shipping</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tc={527A4496-0607-204E-921D-5E0145626EC6}</author>
  </authors>
  <commentList>
    <comment ref="M7" authorId="0" shapeId="0" xr:uid="{527A4496-0607-204E-921D-5E0145626EC6}">
      <text>
        <t>[Threaded comment]
Your version of Excel allows you to read this threaded comment; however, any edits to it will get removed if the file is opened in a newer version of Excel. Learn more: https://go.microsoft.com/fwlink/?linkid=870924
Comment:
    Month 10-12 are producing for Year 2</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tc={782A894D-DA6F-469F-84D6-A0CCA138E46D}</author>
    <author>tc={0427F644-BA98-466B-94C5-1C76BC0F79B8}</author>
    <author>tc={633B3470-41BF-4755-A54C-924F2025B1C1}</author>
    <author>tc={C3E38E73-816B-4FF1-9805-BEA2488BA25E}</author>
    <author>tc={4D2FB867-0227-47D8-9DE8-06AD1D0540FF}</author>
    <author>tc={BD6CD15E-70EC-4E60-843F-E9FD5E7F37F4}</author>
    <author>tc={7D36182F-3ADF-4180-AB72-24D1326E6482}</author>
    <author>tc={0E1BF6CB-F950-4F07-B3B6-2932B5E926ED}</author>
    <author>tc={1ACDDF5C-CE7C-4103-BA3A-39C67546D834}</author>
    <author>tc={B6D9553E-7375-4631-A3B1-C8F9E50850B7}</author>
    <author>tc={52473A99-80D1-4D26-BC6E-E3F0C93FFAF5}</author>
    <author>tc={B6F2FE6C-3885-45DA-B29D-F3C2D31FB0D6}</author>
    <author>tc={767C26D9-3781-41E7-AB56-946FAC09B536}</author>
    <author>tc={20AA0159-08C9-4EE9-971A-362B729E0273}</author>
    <author>tc={95BAA7EF-41D4-45ED-B903-F820446A393F}</author>
    <author>tc={11A30B8B-9226-40B3-9284-21D916BC7256}</author>
    <author>tc={2226DF52-8B12-4067-8CC4-CCC76D9112AF}</author>
    <author>tc={28E3F372-BB56-4DF7-A0FF-EEA52ECC3D4B}</author>
    <author>tc={78E913A5-D5A9-4859-BA4F-EE735B53EA81}</author>
    <author>tc={0979027C-3229-493E-82C8-FF62CAAF0B14}</author>
    <author>tc={7CEA6739-1AC1-48B6-85C0-166D8AF7F4A2}</author>
    <author>tc={9A0F3BB8-EA5B-49F7-8DF1-5FBEECFD6C94}</author>
    <author>tc={83F6A770-A3B5-4224-BE37-C7978663E508}</author>
    <author>tc={9103A63B-C865-4C97-B372-F83D9063D5F4}</author>
    <author>tc={E3990C0F-F700-4D4D-B6D7-78E6A026792D}</author>
    <author>tc={DBE7E0EA-88C9-462D-9B1D-B679CBB60AF7}</author>
    <author>tc={9360F7DB-EAB3-4C49-873F-43E19E1E5BE4}</author>
  </authors>
  <commentList>
    <comment ref="B11" authorId="0" shapeId="0" xr:uid="{782A894D-DA6F-469F-84D6-A0CCA138E46D}">
      <text>
        <t>[Threaded comment]
Your version of Excel allows you to read this threaded comment; however, any edits to it will get removed if the file is opened in a newer version of Excel. Learn more: https://go.microsoft.com/fwlink/?linkid=870924
Comment:
    https://www.iotacommunications.com/blog/average-utility-cost-per-square-foot-commercial-property/</t>
      </text>
    </comment>
    <comment ref="B12" authorId="1" shapeId="0" xr:uid="{0427F644-BA98-466B-94C5-1C76BC0F79B8}">
      <text>
        <t xml:space="preserve">[Threaded comment]
Your version of Excel allows you to read this threaded comment; however, any edits to it will get removed if the file is opened in a newer version of Excel. Learn more: https://go.microsoft.com/fwlink/?linkid=870924
Comment:
    https://www.onupkeep.com/learning/maintenance-metrics/maintenance-statistics </t>
      </text>
    </comment>
    <comment ref="B19" authorId="2" shapeId="0" xr:uid="{633B3470-41BF-4755-A54C-924F2025B1C1}">
      <text>
        <t>[Threaded comment]
Your version of Excel allows you to read this threaded comment; however, any edits to it will get removed if the file is opened in a newer version of Excel. Learn more: https://go.microsoft.com/fwlink/?linkid=870924
Comment:
    https://www.masterclass.com/articles/how-to-make-a-hardcover-book#how-to-make-a-hardcover-book-in-10-steps
Reply:
    https://cdn2.hubspot.net/hubfs/213379/docs/Compact-CPS-BMWGuide-July2018-Ed.pdf</t>
      </text>
    </comment>
    <comment ref="C19" authorId="3" shapeId="0" xr:uid="{C3E38E73-816B-4FF1-9805-BEA2488BA25E}">
      <text>
        <t xml:space="preserve">[Threaded comment]
Your version of Excel allows you to read this threaded comment; however, any edits to it will get removed if the file is opened in a newer version of Excel. Learn more: https://go.microsoft.com/fwlink/?linkid=870924
Comment:
    https://www.tonerbuzz.com/blog/printing-costs-how-to-accurately-calculate-your-printing-cost-per-page/
Reply:
    0.05 cents per page </t>
      </text>
    </comment>
    <comment ref="C20" authorId="4" shapeId="0" xr:uid="{4D2FB867-0227-47D8-9DE8-06AD1D0540FF}">
      <text>
        <t>[Threaded comment]
Your version of Excel allows you to read this threaded comment; however, any edits to it will get removed if the file is opened in a newer version of Excel. Learn more: https://go.microsoft.com/fwlink/?linkid=870924
Comment:
    https://www.alibaba.com/product-detail/Flyers-printing-high-gloss-offset-ink_60840303519.html?spm=a2700.7724857.normal_offer.d_title.55c052dd5zWM4V</t>
      </text>
    </comment>
    <comment ref="C21" authorId="5" shapeId="0" xr:uid="{BD6CD15E-70EC-4E60-843F-E9FD5E7F37F4}">
      <text>
        <t xml:space="preserve">[Threaded comment]
Your version of Excel allows you to read this threaded comment; however, any edits to it will get removed if the file is opened in a newer version of Excel. Learn more: https://go.microsoft.com/fwlink/?linkid=870924
Comment:
    https://www.mybinding.com/coverbind-premium-perfect-binding-glue-30lb-bag.html </t>
      </text>
    </comment>
    <comment ref="C22" authorId="6" shapeId="0" xr:uid="{7D36182F-3ADF-4180-AB72-24D1326E6482}">
      <text>
        <t>[Threaded comment]
Your version of Excel allows you to read this threaded comment; however, any edits to it will get removed if the file is opened in a newer version of Excel. Learn more: https://go.microsoft.com/fwlink/?linkid=870924
Comment:
    https://www.inkandprint.com/collections/spray-powders/products/l3-20-soluble</t>
      </text>
    </comment>
    <comment ref="C23" authorId="7" shapeId="0" xr:uid="{0E1BF6CB-F950-4F07-B3B6-2932B5E926ED}">
      <text>
        <t>[Threaded comment]
Your version of Excel allows you to read this threaded comment; however, any edits to it will get removed if the file is opened in a newer version of Excel. Learn more: https://go.microsoft.com/fwlink/?linkid=870924
Comment:
    https://www.wawak.com/Thread/Thread-By-Brand/Maxi-Lock/maxi-lock-serger-spun-polyester-thread-tex-27/?sku=SPT443299</t>
      </text>
    </comment>
    <comment ref="C25" authorId="8" shapeId="0" xr:uid="{1ACDDF5C-CE7C-4103-BA3A-39C67546D834}">
      <text>
        <t>[Threaded comment]
Your version of Excel allows you to read this threaded comment; however, any edits to it will get removed if the file is opened in a newer version of Excel. Learn more: https://go.microsoft.com/fwlink/?linkid=870924
Comment:
    https://www.mybinding.com/6-x-9-87pt-chipboard-covers-25pk.html?gclid=Cj0KCQiAtJeNBhCVARIsANJUJ2E1iLposoGgH8oo14PBgxHytXmMUxnSnNwXslnuZ4zqx5vitxinDSwaAq-qEALw_wcB</t>
      </text>
    </comment>
    <comment ref="C26" authorId="9" shapeId="0" xr:uid="{B6D9553E-7375-4631-A3B1-C8F9E50850B7}">
      <text>
        <t xml:space="preserve">[Threaded comment]
Your version of Excel allows you to read this threaded comment; however, any edits to it will get removed if the file is opened in a newer version of Excel. Learn more: https://go.microsoft.com/fwlink/?linkid=870924
Comment:
    https://www.tonerbuzz.com/blog/printing-costs-how-to-accurately-calculate-your-printing-cost-per-page/
Reply:
    Assumption: 20 cents </t>
      </text>
    </comment>
    <comment ref="C27" authorId="10" shapeId="0" xr:uid="{52473A99-80D1-4D26-BC6E-E3F0C93FFAF5}">
      <text>
        <t>[Threaded comment]
Your version of Excel allows you to read this threaded comment; however, any edits to it will get removed if the file is opened in a newer version of Excel. Learn more: https://go.microsoft.com/fwlink/?linkid=870924
Comment:
    Taken from OM $ Raw Material</t>
      </text>
    </comment>
    <comment ref="C28" authorId="11" shapeId="0" xr:uid="{B6F2FE6C-3885-45DA-B29D-F3C2D31FB0D6}">
      <text>
        <t xml:space="preserve">[Threaded comment]
Your version of Excel allows you to read this threaded comment; however, any edits to it will get removed if the file is opened in a newer version of Excel. Learn more: https://go.microsoft.com/fwlink/?linkid=870924
Comment:
    https://www.thepricer.org/the-cost-of-laminating/
Reply:
    Assumption: Cost between 0.25 to 0.50/per foot --&gt; took average 0.375*(0.0833333) = 0.0312 
Reply:
    Based on a 6" by 9" inch book = 0.0833333 feet </t>
      </text>
    </comment>
    <comment ref="B32" authorId="12" shapeId="0" xr:uid="{767C26D9-3781-41E7-AB56-946FAC09B536}">
      <text>
        <t>[Threaded comment]
Your version of Excel allows you to read this threaded comment; however, any edits to it will get removed if the file is opened in a newer version of Excel. Learn more: https://go.microsoft.com/fwlink/?linkid=870924
Comment:
    https://www.youtube.com/channel/UCSuSPbvmwLZv9CMdeSsWkFA/about</t>
      </text>
    </comment>
    <comment ref="C32" authorId="13" shapeId="0" xr:uid="{20AA0159-08C9-4EE9-971A-362B729E0273}">
      <text>
        <t>[Threaded comment]
Your version of Excel allows you to read this threaded comment; however, any edits to it will get removed if the file is opened in a newer version of Excel. Learn more: https://go.microsoft.com/fwlink/?linkid=870924
Comment:
    https://www.machinio.com/listings/44786798-agfa-xcalibur-vlf-platesetter-in-lawrence-ma</t>
      </text>
    </comment>
    <comment ref="C33" authorId="14" shapeId="0" xr:uid="{95BAA7EF-41D4-45ED-B903-F820446A393F}">
      <text>
        <t>[Threaded comment]
Your version of Excel allows you to read this threaded comment; however, any edits to it will get removed if the file is opened in a newer version of Excel. Learn more: https://go.microsoft.com/fwlink/?linkid=870924
Comment:
    https://copier1.com/product/ricoh-pro-c9110/?gclid=Cj0KCQiA15yNBhDTARIsAGnwe0VlbjjQxouJjX6Aqh063XFoLLDh0HTMKY78tkuxqrrshwOinjt-124aAoanEALw_wcB</t>
      </text>
    </comment>
    <comment ref="C34" authorId="15" shapeId="0" xr:uid="{11A30B8B-9226-40B3-9284-21D916BC7256}">
      <text>
        <t>[Threaded comment]
Your version of Excel allows you to read this threaded comment; however, any edits to it will get removed if the file is opened in a newer version of Excel. Learn more: https://go.microsoft.com/fwlink/?linkid=870924
Comment:
    https://www.laminator.com/ledco-hd-38-38-inch-heavy-duty-roll-laminator.html</t>
      </text>
    </comment>
    <comment ref="C35" authorId="16" shapeId="0" xr:uid="{2226DF52-8B12-4067-8CC4-CCC76D9112AF}">
      <text>
        <t>[Threaded comment]
Your version of Excel allows you to read this threaded comment; however, any edits to it will get removed if the file is opened in a newer version of Excel. Learn more: https://go.microsoft.com/fwlink/?linkid=870924
Comment:
    https://www.whitakerbrothers.com/products/challenge-champion-305-manual-backgauge-cutter?variant=39365950570538</t>
      </text>
    </comment>
    <comment ref="C36" authorId="17" shapeId="0" xr:uid="{28E3F372-BB56-4DF7-A0FF-EEA52ECC3D4B}">
      <text>
        <t>[Threaded comment]
Your version of Excel allows you to read this threaded comment; however, any edits to it will get removed if the file is opened in a newer version of Excel. Learn more: https://go.microsoft.com/fwlink/?linkid=870924
Comment:
    https://stores.mailshipdirect.net/formax-fd-6204-fully-automatic-document-folder-inserter-same-as-neopost-ds-63-hasler-m3300-full-warranty-call-for-special-pricing/?gclid=Cj0KCQiAtJeNBhCVARIsANJUJ2HNI2-72WrguTP43FEExIoqY6mwotIqPEuGzfnf4lGdPBAxwX1RGlMaAmmCEALw_wcB</t>
      </text>
    </comment>
    <comment ref="C37" authorId="18" shapeId="0" xr:uid="{78E913A5-D5A9-4859-BA4F-EE735B53EA81}">
      <text>
        <t>[Threaded comment]
Your version of Excel allows you to read this threaded comment; however, any edits to it will get removed if the file is opened in a newer version of Excel. Learn more: https://go.microsoft.com/fwlink/?linkid=870924
Comment:
    https://www.whitakerbrothers.com/products/mbm-fc-10-collator?variant=39366027280426&amp;utm_term=&amp;amp;utm_source=google&amp;amp;utm_medium=cpc&amp;gclid=Cj0KCQiAtJeNBhCVARIsANJUJ2EeIzfzqe_APYmDCjOgRycevdp7PoOSsiVSXajdTuQoDzUv0wWwdHMaAq1JEALw_wcB</t>
      </text>
    </comment>
    <comment ref="C38" authorId="19" shapeId="0" xr:uid="{0979027C-3229-493E-82C8-FF62CAAF0B14}">
      <text>
        <t>[Threaded comment]
Your version of Excel allows you to read this threaded comment; however, any edits to it will get removed if the file is opened in a newer version of Excel. Learn more: https://go.microsoft.com/fwlink/?linkid=870924
Comment:
    https://www.toolots.com/spb-bm600.html</t>
      </text>
    </comment>
    <comment ref="C39" authorId="20" shapeId="0" xr:uid="{7CEA6739-1AC1-48B6-85C0-166D8AF7F4A2}">
      <text>
        <t>[Threaded comment]
Your version of Excel allows you to read this threaded comment; however, any edits to it will get removed if the file is opened in a newer version of Excel. Learn more: https://go.microsoft.com/fwlink/?linkid=870924
Comment:
    https://www.cfsbinds.com/ch200fuhypac.html?gclid=Cj0KCQiAtJeNBhCVARIsANJUJ2EgA4UGVTn98tILf5rnZGlaGHm_4M5eJtVjqXUicx0AlRW8A6ov10AaAr-NEALw_wcB</t>
      </text>
    </comment>
    <comment ref="C40" authorId="21" shapeId="0" xr:uid="{9A0F3BB8-EA5B-49F7-8DF1-5FBEECFD6C94}">
      <text>
        <t>[Threaded comment]
Your version of Excel allows you to read this threaded comment; however, any edits to it will get removed if the file is opened in a newer version of Excel. Learn more: https://go.microsoft.com/fwlink/?linkid=870924
Comment:
    https://www.alibaba.com/pla/Stainless-steel-304-food-grade-mesh_60765922027.html?mark=google_shopping&amp;biz=pla&amp;pcy=US&amp;searchText=Mesh+Belt+Conveyor&amp;product_id=60765922027&amp;src=sem_ggl&amp;from=sem_ggl&amp;cmpgn=11895329719&amp;adgrp=112297194941&amp;fditm=&amp;tgt=pla-1082573610178&amp;locintrst=&amp;locphyscl=9061331&amp;mtchtyp=&amp;ntwrk=u&amp;device=c&amp;dvcmdl=&amp;creative=487601239172&amp;plcmnt=&amp;plcmntcat=&amp;p1=&amp;p2=&amp;aceid=&amp;position=&amp;localKeyword=&amp;pla_prdid=60765922027&amp;pla_country=US&amp;pla_lang=en&amp;gclid=Cj0KCQiAtJeNBhCVARIsANJUJ2EYXMM6-HJQt3fx7JqKKdTBas9q3y9k6fDysqqvmCXjYIAtMVxh_UoaAnV1EALw_wcB</t>
      </text>
    </comment>
    <comment ref="C41" authorId="22" shapeId="0" xr:uid="{83F6A770-A3B5-4224-BE37-C7978663E508}">
      <text>
        <t>[Threaded comment]
Your version of Excel allows you to read this threaded comment; however, any edits to it will get removed if the file is opened in a newer version of Excel. Learn more: https://go.microsoft.com/fwlink/?linkid=870924
Comment:
    https://www.globalindustrial.com/p/steel-deck-truck-36-l-x-24-w-1400-lb-capacity?infoParam.campaignId=T9F&amp;gclid=Cj0KCQiAtJeNBhCVARIsANJUJ2G6It3C_fvZeAH0pA6shDN7fB5xG3gLGaeD0WubvMBKcFH927CblIoaAlgVEALw_wcB</t>
      </text>
    </comment>
    <comment ref="C42" authorId="23" shapeId="0" xr:uid="{9103A63B-C865-4C97-B372-F83D9063D5F4}">
      <text>
        <t>[Threaded comment]
Your version of Excel allows you to read this threaded comment; however, any edits to it will get removed if the file is opened in a newer version of Excel. Learn more: https://go.microsoft.com/fwlink/?linkid=870924
Comment:
    https://www.uline.com/Product/ViewCart/UpdateFromProduct</t>
      </text>
    </comment>
    <comment ref="C45" authorId="24" shapeId="0" xr:uid="{E3990C0F-F700-4D4D-B6D7-78E6A026792D}">
      <text>
        <t>[Threaded comment]
Your version of Excel allows you to read this threaded comment; however, any edits to it will get removed if the file is opened in a newer version of Excel. Learn more: https://go.microsoft.com/fwlink/?linkid=870924
Comment:
    Triple-net rent</t>
      </text>
    </comment>
    <comment ref="C46" authorId="25" shapeId="0" xr:uid="{DBE7E0EA-88C9-462D-9B1D-B679CBB60AF7}">
      <text>
        <t xml:space="preserve">[Threaded comment]
Your version of Excel allows you to read this threaded comment; however, any edits to it will get removed if the file is opened in a newer version of Excel. Learn more: https://go.microsoft.com/fwlink/?linkid=870924
Comment:
    https://www.iotacommunications.com/blog/average-utility-cost-per-square-foot-commercial-property/
Reply:
    Assumption used: Average cost of utilities for commercial buildings is $2.10 per square foot. </t>
      </text>
    </comment>
    <comment ref="C53" authorId="26" shapeId="0" xr:uid="{9360F7DB-EAB3-4C49-873F-43E19E1E5BE4}">
      <text>
        <t xml:space="preserve">[Threaded comment]
Your version of Excel allows you to read this threaded comment; however, any edits to it will get removed if the file is opened in a newer version of Excel. Learn more: https://go.microsoft.com/fwlink/?linkid=870924
Comment:
    Maintenance costs are estimated to range between 15% and 40% of total production costs --&gt; used 15% as basis
Reply:
    https://www.onupkeep.com/learning/maintenance-metrics/maintenance-statistics 
</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tc={8E15EA1D-2AF1-9C46-A3F4-D070226CD0B3}</author>
    <author>tc={84103161-E512-3D46-89A0-96E600B5D741}</author>
    <author>tc={B5194695-40C9-984F-B1C7-A6B250BFE304}</author>
  </authors>
  <commentList>
    <comment ref="H22" authorId="0" shapeId="0" xr:uid="{8E15EA1D-2AF1-9C46-A3F4-D070226CD0B3}">
      <text>
        <t>[Threaded comment]
Your version of Excel allows you to read this threaded comment; however, any edits to it will get removed if the file is opened in a newer version of Excel. Learn more: https://go.microsoft.com/fwlink/?linkid=870924
Comment:
    https://www.childstats.gov/americaschildren/tables/pop1.asp</t>
      </text>
    </comment>
    <comment ref="K22" authorId="1" shapeId="0" xr:uid="{84103161-E512-3D46-89A0-96E600B5D741}">
      <text>
        <t>[Threaded comment]
Your version of Excel allows you to read this threaded comment; however, any edits to it will get removed if the file is opened in a newer version of Excel. Learn more: https://go.microsoft.com/fwlink/?linkid=870924
Comment:
    https://www.statista.com/statistics/758502/percentage-distribution-of-household-income-in-the-us/</t>
      </text>
    </comment>
    <comment ref="P23" authorId="2" shapeId="0" xr:uid="{B5194695-40C9-984F-B1C7-A6B250BFE304}">
      <text>
        <t>[Threaded comment]
Your version of Excel allows you to read this threaded comment; however, any edits to it will get removed if the file is opened in a newer version of Excel. Learn more: https://go.microsoft.com/fwlink/?linkid=870924
Comment:
    https://www.marketresearch.com/QYResearch-Group-v3531/Global-United-States-Educational-Toys-14453419/</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tc={83CAFCE8-F79B-4765-AAA1-42810C5A9F54}</author>
    <author>tc={D3D49134-C6F8-C84D-9BD4-98559FCB1971}</author>
    <author>tc={92784F61-B762-1949-836A-83B4376AE202}</author>
    <author>tc={4B96CC60-6108-4473-89B6-0BA397367A26}</author>
    <author>tc={2F72EC73-069E-4DDF-995A-B1B657E02924}</author>
    <author>tc={723EC4DD-049B-4B5B-B4C0-7EABBF4F1565}</author>
    <author>tc={27519AD3-3A06-4F31-9610-FCD87D23F21E}</author>
    <author>tc={B6BD121F-3423-423D-B906-E06029255138}</author>
    <author>tc={3B8EA73D-0DF0-4D7C-AF0B-0D1C099A163D}</author>
    <author>tc={711BCEB3-79C1-42B9-A6A3-650CB48EE0AD}</author>
    <author>tc={8CCB2B2F-450E-4B38-B715-A9B0C70C7BF7}</author>
    <author>tc={59DD4B91-4314-48CF-A448-86276F34733C}</author>
    <author>tc={3C983B9F-5FC3-4A37-BFD2-C2232A1BF70E}</author>
    <author>tc={F8338CA1-4346-4B31-8BF2-14630012D3DA}</author>
    <author>tc={80316291-EF25-4A61-AD49-F2C3E7984D02}</author>
  </authors>
  <commentList>
    <comment ref="M9" authorId="0" shapeId="0" xr:uid="{83CAFCE8-F79B-4765-AAA1-42810C5A9F54}">
      <text>
        <t>[Threaded comment]
Your version of Excel allows you to read this threaded comment; however, any edits to it will get removed if the file is opened in a newer version of Excel. Learn more: https://go.microsoft.com/fwlink/?linkid=870924
Comment:
    "Classic Operation Game" Amazon. Accessed Dec 5, 2021
https://www.amazon.com/Hasbro-B2176-Classic-Operation-Game/dp/B01JF1VRL0/ref=sr_1_1?crid=3G4XOPW0E52OP&amp;keywords=operation&amp;qid=1636309718&amp;s=toys-and-games&amp;sprefix=operation%2Ctoys-and-games%2C66&amp;sr=1-1</t>
      </text>
    </comment>
    <comment ref="M10" authorId="1" shapeId="0" xr:uid="{D3D49134-C6F8-C84D-9BD4-98559FCB1971}">
      <text>
        <t xml:space="preserve">[Threaded comment]
Your version of Excel allows you to read this threaded comment; however, any edits to it will get removed if the file is opened in a newer version of Excel. Learn more: https://go.microsoft.com/fwlink/?linkid=870924
Comment:
    “Operation.” Boing! Toy Shop. Accessed December 2, 2021. https://www.boingtoys.com/buy/evere-hbga4053/operation. </t>
      </text>
    </comment>
    <comment ref="M11" authorId="2" shapeId="0" xr:uid="{92784F61-B762-1949-836A-83B4376AE202}">
      <text>
        <t xml:space="preserve">[Threaded comment]
Your version of Excel allows you to read this threaded comment; however, any edits to it will get removed if the file is opened in a newer version of Excel. Learn more: https://go.microsoft.com/fwlink/?linkid=870924
Comment:
    “Hasbro *BC* Classic Operation 10/15 [HSBB2176].” HobbyTown. Accessed December 2, 2021. https://www.hobbytown.com/hasbro-bc-classic-operation-10-15-hsbb2176/p-xthnhdhqzq2bg4yz. </t>
      </text>
    </comment>
    <comment ref="M12" authorId="3" shapeId="0" xr:uid="{4B96CC60-6108-4473-89B6-0BA397367A26}">
      <text>
        <t>[Threaded comment]
Your version of Excel allows you to read this threaded comment; however, any edits to it will get removed if the file is opened in a newer version of Excel. Learn more: https://go.microsoft.com/fwlink/?linkid=870924
Comment:
    "Operation Board Game" Target.  Accessed Dec 5, 2021
https://www.target.com/p/operation-board-game/-/A-10855290?ref=tgt_adv_XS000000&amp;AFID=google_pla_df&amp;fndsrc=tgtao&amp;DFA=71700000014851607&amp;CPNG=PLA_Toys%2BShopping_Brand%7CToys_Ecomm_Hardlines&amp;adgroup=SC_Toys&amp;LID=700000001170770pgs&amp;LNM=PRODUCT_GROUP&amp;network=g&amp;device=c&amp;location=9061331&amp;targetid=pla-82462125649&amp;ds_rl=1246978&amp;ds_rl=1248099&amp;gclid=Cj0KCQjw8p2MBhCiARIsADDUFVFCotcoE0PnxnI5fqs6jcekAYS3Q_Rn4lZvVUau_Zc_xb2vRqldyFwaAt5uEALw_wcB&amp;gclsrc=aw.ds</t>
      </text>
    </comment>
    <comment ref="M15" authorId="4" shapeId="0" xr:uid="{2F72EC73-069E-4DDF-995A-B1B657E02924}">
      <text>
        <t>[Threaded comment]
Your version of Excel allows you to read this threaded comment; however, any edits to it will get removed if the file is opened in a newer version of Excel. Learn more: https://go.microsoft.com/fwlink/?linkid=870924
Comment:
    "Melissa and Doug Get well Doctor's Kit" Amazon. Accessed Dec 4, 2021
https://www.amazon.com/Melissa-Doug-Doctors-Original-Pieces/dp/B07VNB8BV9</t>
      </text>
    </comment>
    <comment ref="M16" authorId="5" shapeId="0" xr:uid="{723EC4DD-049B-4B5B-B4C0-7EABBF4F1565}">
      <text>
        <t>[Threaded comment]
Your version of Excel allows you to read this threaded comment; however, any edits to it will get removed if the file is opened in a newer version of Excel. Learn more: https://go.microsoft.com/fwlink/?linkid=870924
Comment:
    "Melissa and Doug's Get Well Doctor's Kit" Go Bananas!. Accessed Dec 4, 2021.
https://www.gobananastoys.com/043130/melissa-doug-get-well-first-aid-playset</t>
      </text>
    </comment>
    <comment ref="M17" authorId="6" shapeId="0" xr:uid="{27519AD3-3A06-4F31-9610-FCD87D23F21E}">
      <text>
        <t>[Threaded comment]
Your version of Excel allows you to read this threaded comment; however, any edits to it will get removed if the file is opened in a newer version of Excel. Learn more: https://go.microsoft.com/fwlink/?linkid=870924
Comment:
    "Melissa and Doug Get Well Doctors Kit" Macy's. Accessed- Dec 4, 2021
https://www.macys.com/shop/product/melissa-doug-get-well-doctors-kit-play-set?ID=10813351&amp;pla_country=US&amp;CAGPSPN=pla&amp;cm_mmc=Google_SH_PLA_Tabletop-_-GS_Toys_PLA_Restructure_Melissa_And_Doug-_-520701577387-_-pg1052209566_c_kclickid_f7c78a09-7cad-4984-b69c-f0d33401d0b3_KID_EMPTY_13050342700_121382504119_520701577387_pla-1259091348683_772085694USA__c_KID_&amp;trackingid=509x1052209566&amp;m_sc=sem&amp;m_sb=Google&amp;m_tp=PLA&amp;m_ac=Google_SH_PLA_Tabletop&amp;m_ag=MelissaAndDoug&amp;m_cn=GS_Toys_PLA_Restructure&amp;m_pi=go_cmp-13050342700_adg-121382504119_ad-520701577387_pla-1259091348683_dev-c_ext-_prd-772085694USA&amp;gclid=Cj0KCQiA-qGNBhD3ARIsAO_o7ymQ_ZpPs1whC1w20jiqdAkltuLNQCO9Hl3hnb59wMKsW385xLBCqLcaAlBLEALw_wcB</t>
      </text>
    </comment>
    <comment ref="M18" authorId="7" shapeId="0" xr:uid="{B6BD121F-3423-423D-B906-E06029255138}">
      <text>
        <t>[Threaded comment]
Your version of Excel allows you to read this threaded comment; however, any edits to it will get removed if the file is opened in a newer version of Excel. Learn more: https://go.microsoft.com/fwlink/?linkid=870924
Comment:
    "Melissa and Doug Get Well Doctor's Kit"
Target. Accessed Dec 4, 2021
https://www.target.com/p/melissa-38-doug-get-well-doctor-39-s-kit-play-set/-/A-76627229?ref=tgt_adv_XS000000&amp;AFID=google_pla_df&amp;fndsrc=tgtao&amp;DFA=71700000012732838&amp;CPNG=PLA_Toys%2BShopping_Local%7CToys_Ecomm_Hardlines&amp;adgroup=SC_Toys&amp;LID=700000001170770pgs&amp;LNM=PRODUCT_GROUP&amp;network=g&amp;device=c&amp;location=1018127&amp;targetid=pla-775539929267&amp;ds_rl=1246978&amp;ds_rl=1248099&amp;gclid=Cj0KCQiA-qGNBhD3ARIsAO_o7ykJbomDD3z8hYnx9K5tX8XgiSEEssuYhBj6t7hX8cgF6gj7D6vV_TAaAmNKEALw_wcB&amp;gclsrc=aw.ds</t>
      </text>
    </comment>
    <comment ref="M21" authorId="8" shapeId="0" xr:uid="{3B8EA73D-0DF0-4D7C-AF0B-0D1C099A163D}">
      <text>
        <t>[Threaded comment]
Your version of Excel allows you to read this threaded comment; however, any edits to it will get removed if the file is opened in a newer version of Excel. Learn more: https://go.microsoft.com/fwlink/?linkid=870924
Comment:
    "Barbie Baby Doctor Playset with Blonde Doll, 2 Infant Dolls, Exam Table and Accessories, Stethoscope, Chart and Mobile for Ages 3 and Up" Amazon. Accessed Dec 4, 2021
https://www.amazon.com/Barbie-Doctor-Playset-Blonde-Infant/dp/B07XF98T7L/ref=asc_df_B07XF98T7L/?tag=&amp;linkCode=df0&amp;hvadid=416743921177&amp;hvpos=&amp;hvnetw=g&amp;hvrand=16255061840108330811&amp;hvpone=&amp;hvptwo=&amp;hvqmt=&amp;hvdev=c&amp;hvdvcmdl=&amp;hvlocint=&amp;hvlocphy=9001997&amp;hvtargid=pla-843769117613&amp;ref=&amp;adgrpid=96841195627&amp;th=1</t>
      </text>
    </comment>
    <comment ref="M22" authorId="9" shapeId="0" xr:uid="{711BCEB3-79C1-42B9-A6A3-650CB48EE0AD}">
      <text>
        <t>[Threaded comment]
Your version of Excel allows you to read this threaded comment; however, any edits to it will get removed if the file is opened in a newer version of Excel. Learn more: https://go.microsoft.com/fwlink/?linkid=870924
Comment:
    "Barbie Baby Doctor" Henry Bear's Park. Accessed Dec 5, 2021
https://www.henrybear.com/Barbie-Baby-Doctor-Blonde</t>
      </text>
    </comment>
    <comment ref="M23" authorId="10" shapeId="0" xr:uid="{8CCB2B2F-450E-4B38-B715-A9B0C70C7BF7}">
      <text>
        <t>[Threaded comment]
Your version of Excel allows you to read this threaded comment; however, any edits to it will get removed if the file is opened in a newer version of Excel. Learn more: https://go.microsoft.com/fwlink/?linkid=870924
Comment:
    "Mattel Barbie Baby Doctor Playset With Blonde Doll, 2 Infant Dolls, Exam Table And Accessories" L&amp;M Fleet Supply. Accessed Dec 5, 2021
https://www.landmsupply.com/mattel-barbie-baby-doctor-playset-with-blonde-doll-2-infant-dolls-exam-table-and-accessories?gclid=CjwKCAiA1aiMBhAUEiwACw25MYViIetoGImNE8WVoO6f-tbVObeHnueC3iW59BWPlYVl6Mk74emsyxoC30wQAvD_BwE</t>
      </text>
    </comment>
    <comment ref="M24" authorId="11" shapeId="0" xr:uid="{59DD4B91-4314-48CF-A448-86276F34733C}">
      <text>
        <t>[Threaded comment]
Your version of Excel allows you to read this threaded comment; however, any edits to it will get removed if the file is opened in a newer version of Excel. Learn more: https://go.microsoft.com/fwlink/?linkid=870924
Comment:
    "Barbie You Can Be Anything Baby Doctor Blonde Doll and Playset" Target. Accessed Dec 4, 2021
https://www.target.com/p/barbie-you-can-be-anything-baby-doctor-blonde-doll-and-playset/-/A-76623758</t>
      </text>
    </comment>
    <comment ref="M27" authorId="12" shapeId="0" xr:uid="{3C983B9F-5FC3-4A37-BFD2-C2232A1BF70E}">
      <text>
        <t>[Threaded comment]
Your version of Excel allows you to read this threaded comment; however, any edits to it will get removed if the file is opened in a newer version of Excel. Learn more: https://go.microsoft.com/fwlink/?linkid=870924
Comment:
    "Baby Alive Lulu Achoo Doll, 12-Inch Interactive Doctor Play Toy with Lights, Sounds, Movements and Tools, Kids Ages 3 and Up, Blonde Hair" Amazon. Accessed Dec 4, 2021
Baby Alive Lulu Achoo Doll, 12-Inch Interactive Doctor Play Toy with Lights, Sounds, Movements and Tools, Kids Ages 3 and Up, Blonde Hai</t>
      </text>
    </comment>
    <comment ref="M29" authorId="13" shapeId="0" xr:uid="{F8338CA1-4346-4B31-8BF2-14630012D3DA}">
      <text>
        <t>[Threaded comment]
Your version of Excel allows you to read this threaded comment; however, any edits to it will get removed if the file is opened in a newer version of Excel. Learn more: https://go.microsoft.com/fwlink/?linkid=870924
Comment:
    "Lulu Achoo Doll" Blain's Farm and Fleet. Accessed Dec 5, 2021
https://www.farmandfleet.com/products/1375467-baby-alive-lulu-achoo-doll.html?blaintm_source=google&amp;blaintm_medium=pla&amp;gclid=CjwKCAiA1aiMBhAUEiwACw25Mb_KUYWAzfPD_6fU-TQHeHaXhtw0hrlmgZd8T6gYA1Kko-Pc1u-kIRoC1JMQAvD_BwE</t>
      </text>
    </comment>
    <comment ref="M30" authorId="14" shapeId="0" xr:uid="{80316291-EF25-4A61-AD49-F2C3E7984D02}">
      <text>
        <t>[Threaded comment]
Your version of Excel allows you to read this threaded comment; however, any edits to it will get removed if the file is opened in a newer version of Excel. Learn more: https://go.microsoft.com/fwlink/?linkid=870924
Comment:
    "Baby Alive Lulu Achoo Doll, 12-Inch Doctor Play Toy, Sounds, Movements, Brown Hair" Walmart. Accessed Dec 4, 2021
https://www.walmart.com/ip/Baby-Alive-Lulu-Achoo-Doll-12-Inch-Doctor-Play-Toy-Sounds-Movements-Brown-Hair/959006836?wmlspartner=wlpa&amp;selectedSellerId=0</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tc={338CCA17-0A51-464E-8088-0CA68D5CD528}</author>
    <author>tc={DE58146B-E9F7-234D-BA03-FD2C9FC0BAB8}</author>
    <author>tc={8ECAE91A-1C50-3245-AE0C-96D7D28D5728}</author>
    <author>tc={D3CD5CC4-E896-494D-853E-9C55BFF4385F}</author>
    <author>tc={E345E937-455D-1447-BACA-CF4609EFC057}</author>
    <author>tc={88659268-0E28-E64A-82BF-575FB08DDD3A}</author>
  </authors>
  <commentList>
    <comment ref="B116" authorId="0" shapeId="0" xr:uid="{338CCA17-0A51-464E-8088-0CA68D5CD528}">
      <text>
        <t>[Threaded comment]
Your version of Excel allows you to read this threaded comment; however, any edits to it will get removed if the file is opened in a newer version of Excel. Learn more: https://go.microsoft.com/fwlink/?linkid=870924
Comment:
    See List of Local Magazines distributed to on page 2: https://secureservercdn.net/166.62.112.107/59m.d99.myftpupload.com/wp-content/uploads/2020/10/PMA-Group-Buy-2020-1-1.pdf</t>
      </text>
    </comment>
    <comment ref="C116" authorId="1" shapeId="0" xr:uid="{DE58146B-E9F7-234D-BA03-FD2C9FC0BAB8}">
      <text>
        <t>[Threaded comment]
Your version of Excel allows you to read this threaded comment; however, any edits to it will get removed if the file is opened in a newer version of Excel. Learn more: https://go.microsoft.com/fwlink/?linkid=870924
Comment:
    See List of Local Magazines distributed to on page 2: https://secureservercdn.net/166.62.112.107/59m.d99.myftpupload.com/wp-content/uploads/2020/10/PMA-Group-Buy-2020-1-1.pdf</t>
      </text>
    </comment>
    <comment ref="B165" authorId="2" shapeId="0" xr:uid="{8ECAE91A-1C50-3245-AE0C-96D7D28D5728}">
      <text>
        <t>[Threaded comment]
Your version of Excel allows you to read this threaded comment; however, any edits to it will get removed if the file is opened in a newer version of Excel. Learn more: https://go.microsoft.com/fwlink/?linkid=870924
Comment:
    See List of Local Magazines distributed to on page 2: https://secureservercdn.net/166.62.112.107/59m.d99.myftpupload.com/wp-content/uploads/2020/10/PMA-Group-Buy-2020-1-1.pdf</t>
      </text>
    </comment>
    <comment ref="C165" authorId="3" shapeId="0" xr:uid="{D3CD5CC4-E896-494D-853E-9C55BFF4385F}">
      <text>
        <t>[Threaded comment]
Your version of Excel allows you to read this threaded comment; however, any edits to it will get removed if the file is opened in a newer version of Excel. Learn more: https://go.microsoft.com/fwlink/?linkid=870924
Comment:
    See List of Local Magazines distributed to on page 2: https://secureservercdn.net/166.62.112.107/59m.d99.myftpupload.com/wp-content/uploads/2020/10/PMA-Group-Buy-2020-1-1.pdf</t>
      </text>
    </comment>
    <comment ref="B235" authorId="4" shapeId="0" xr:uid="{E345E937-455D-1447-BACA-CF4609EFC057}">
      <text>
        <t>[Threaded comment]
Your version of Excel allows you to read this threaded comment; however, any edits to it will get removed if the file is opened in a newer version of Excel. Learn more: https://go.microsoft.com/fwlink/?linkid=870924
Comment:
    See List of Local Magazines distributed to on page 2: https://secureservercdn.net/166.62.112.107/59m.d99.myftpupload.com/wp-content/uploads/2020/10/PMA-Group-Buy-2020-1-1.pdf</t>
      </text>
    </comment>
    <comment ref="C235" authorId="5" shapeId="0" xr:uid="{88659268-0E28-E64A-82BF-575FB08DDD3A}">
      <text>
        <t>[Threaded comment]
Your version of Excel allows you to read this threaded comment; however, any edits to it will get removed if the file is opened in a newer version of Excel. Learn more: https://go.microsoft.com/fwlink/?linkid=870924
Comment:
    See List of Local Magazines distributed to on page 2: https://secureservercdn.net/166.62.112.107/59m.d99.myftpupload.com/wp-content/uploads/2020/10/PMA-Group-Buy-2020-1-1.pdf</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tc={BB1C5C95-E954-4FF4-A855-E360581F31D1}</author>
    <author>tc={AF634200-CE06-424E-A3F9-B42AA72ACCDE}</author>
    <author>tc={0592A3F1-E156-4515-B581-A20C80C9FC6D}</author>
    <author>tc={7DDA47E0-66D4-403B-8F44-687219815776}</author>
    <author>tc={5AEC74B6-5E73-483D-9398-77AAFE93265D}</author>
    <author>tc={4F35E6CD-8804-421B-9764-3B92039EC082}</author>
    <author>tc={F98014A9-252F-4BAC-BA6B-80DD8F263314}</author>
    <author>tc={E39C9B77-4A8A-E649-B66C-B787DBB5BDE6}</author>
    <author>tc={FF7E9F1E-0046-294B-8E61-40C151A3E39A}</author>
    <author>tc={28E39E25-E544-4BF0-A0D8-B930B605A515}</author>
    <author>tc={3C97055F-F4E1-46F7-B5DC-51A778A20B63}</author>
    <author>tc={0C337AC4-10E6-4E00-B5AD-9AA87E28E1F4}</author>
    <author>tc={F2FAD3C5-ED61-49EB-842C-54C297B11F4B}</author>
    <author>tc={D968D778-40D0-4D4B-B23F-A17EB52D26A8}</author>
    <author>tc={C7C87DA6-D5F4-4507-9551-D5339D0A1E55}</author>
    <author>tc={70A4C1A2-FEE1-499D-86F2-C28BE4F2A385}</author>
    <author>tc={C967BC22-1C0F-4C51-B822-5E47CA8F225B}</author>
    <author>tc={DA172834-ACD4-4ED4-B6BF-CCF9D25B72B5}</author>
    <author>tc={F7E6AEEA-5784-44F8-8986-1C3B768DC056}</author>
  </authors>
  <commentList>
    <comment ref="F7" authorId="0" shapeId="0" xr:uid="{BB1C5C95-E954-4FF4-A855-E360581F31D1}">
      <text>
        <t>[Threaded comment]
Your version of Excel allows you to read this threaded comment; however, any edits to it will get removed if the file is opened in a newer version of Excel. Learn more: https://go.microsoft.com/fwlink/?linkid=870924
Comment:
    Source: https://www.yelp.com/biz/kips-toyland-los-angeles</t>
      </text>
    </comment>
    <comment ref="H7" authorId="1" shapeId="0" xr:uid="{AF634200-CE06-424E-A3F9-B42AA72ACCDE}">
      <text>
        <t>[Threaded comment]
Your version of Excel allows you to read this threaded comment; however, any edits to it will get removed if the file is opened in a newer version of Excel. Learn more: https://go.microsoft.com/fwlink/?linkid=870924
Comment:
    Source:
https://www.kaspien.com/blog/selling-toys-games-on-amazon-category-overview/#:~:text=According%20to%20documents%20provided%20by,than%20Amazon's%20private%20label%20brands.</t>
      </text>
    </comment>
    <comment ref="O7" authorId="2" shapeId="0" xr:uid="{0592A3F1-E156-4515-B581-A20C80C9FC6D}">
      <text>
        <t>[Threaded comment]
Your version of Excel allows you to read this threaded comment; however, any edits to it will get removed if the file is opened in a newer version of Excel. Learn more: https://go.microsoft.com/fwlink/?linkid=870924
Comment:
    Source: http://learningexpress.com/franchise/why-learning-express/</t>
      </text>
    </comment>
    <comment ref="O8" authorId="3" shapeId="0" xr:uid="{7DDA47E0-66D4-403B-8F44-687219815776}">
      <text>
        <t>[Threaded comment]
Your version of Excel allows you to read this threaded comment; however, any edits to it will get removed if the file is opened in a newer version of Excel. Learn more: https://go.microsoft.com/fwlink/?linkid=870924
Comment:
    Source: https://toybook.com/commentary-hobbytown-growing-toy-sales-nationwide/</t>
      </text>
    </comment>
    <comment ref="O9" authorId="4" shapeId="0" xr:uid="{5AEC74B6-5E73-483D-9398-77AAFE93265D}">
      <text>
        <t>[Threaded comment]
Your version of Excel allows you to read this threaded comment; however, any edits to it will get removed if the file is opened in a newer version of Excel. Learn more: https://go.microsoft.com/fwlink/?linkid=870924
Comment:
    Source:
https://pipecandy.com/companies/fao-schwarz/</t>
      </text>
    </comment>
    <comment ref="F10" authorId="5" shapeId="0" xr:uid="{4F35E6CD-8804-421B-9764-3B92039EC082}">
      <text>
        <t>[Threaded comment]
Your version of Excel allows you to read this threaded comment; however, any edits to it will get removed if the file is opened in a newer version of Excel. Learn more: https://go.microsoft.com/fwlink/?linkid=870924
Comment:
    Source: https://my.ibisworld.com/us/en/industry-specialized/od6117/competitive-landscape#market-share-concentration</t>
      </text>
    </comment>
    <comment ref="H12" authorId="6" shapeId="0" xr:uid="{F98014A9-252F-4BAC-BA6B-80DD8F263314}">
      <text>
        <t>[Threaded comment]
Your version of Excel allows you to read this threaded comment; however, any edits to it will get removed if the file is opened in a newer version of Excel. Learn more: https://go.microsoft.com/fwlink/?linkid=870924
Comment:
    Source:
https://www.kaspien.com/blog/selling-toys-games-on-amazon-category-overview/#:~:text=According%20to%20documents%20provided%20by,than%20Amazon's%20private%20label%20brands.</t>
      </text>
    </comment>
    <comment ref="S12" authorId="7" shapeId="0" xr:uid="{E39C9B77-4A8A-E649-B66C-B787DBB5BDE6}">
      <text>
        <t xml:space="preserve">[Threaded comment]
Your version of Excel allows you to read this threaded comment; however, any edits to it will get removed if the file is opened in a newer version of Excel. Learn more: https://go.microsoft.com/fwlink/?linkid=870924
Comment:
    Smith, By: Craig, Craig Smith, About Craig SmithDMR Publisher. Director of Marketing by day and I run this little site at night. Other interests include Disney, and View all posts by Craig Smith →. “60 Amazing Walmart Statistics and Facts.” DMR, September 7, 2021. https://expandedramblings.com/index.php/walmart-statistics/. </t>
      </text>
    </comment>
    <comment ref="S13" authorId="8" shapeId="0" xr:uid="{FF7E9F1E-0046-294B-8E61-40C151A3E39A}">
      <text>
        <t xml:space="preserve">[Threaded comment]
Your version of Excel allows you to read this threaded comment; however, any edits to it will get removed if the file is opened in a newer version of Excel. Learn more: https://go.microsoft.com/fwlink/?linkid=870924
Comment:
    Published by                                    Statista Research Department, and May 11. “Number of Target Stores in the U.S. 2020.” Statista, May 11, 2021. https://www.statista.com/statistics/255965/total-number-of-target-stores-in-north-america/. </t>
      </text>
    </comment>
    <comment ref="F15" authorId="9" shapeId="0" xr:uid="{28E39E25-E544-4BF0-A0D8-B930B605A515}">
      <text>
        <t>[Threaded comment]
Your version of Excel allows you to read this threaded comment; however, any edits to it will get removed if the file is opened in a newer version of Excel. Learn more: https://go.microsoft.com/fwlink/?linkid=870924
Comment:
    Source: https://my.ibisworld.com/us/en/industry-specialized/od6117/competitive-landscape#market-share-concentration</t>
      </text>
    </comment>
    <comment ref="O17" authorId="10" shapeId="0" xr:uid="{3C97055F-F4E1-46F7-B5DC-51A778A20B63}">
      <text>
        <t>[Threaded comment]
Your version of Excel allows you to read this threaded comment; however, any edits to it will get removed if the file is opened in a newer version of Excel. Learn more: https://go.microsoft.com/fwlink/?linkid=870924
Comment:
    Source:
https://www.yelp.com/biz/kips-toyland-los-angeles</t>
      </text>
    </comment>
    <comment ref="O18" authorId="11" shapeId="0" xr:uid="{0C337AC4-10E6-4E00-B5AD-9AA87E28E1F4}">
      <text>
        <t>[Threaded comment]
Your version of Excel allows you to read this threaded comment; however, any edits to it will get removed if the file is opened in a newer version of Excel. Learn more: https://go.microsoft.com/fwlink/?linkid=870924
Comment:
    Source: https://www.yelp.com/biz/the-toy-maven-preston-hollow-dallas</t>
      </text>
    </comment>
    <comment ref="O19" authorId="12" shapeId="0" xr:uid="{F2FAD3C5-ED61-49EB-842C-54C297B11F4B}">
      <text>
        <t>[Threaded comment]
Your version of Excel allows you to read this threaded comment; however, any edits to it will get removed if the file is opened in a newer version of Excel. Learn more: https://go.microsoft.com/fwlink/?linkid=870924
Comment:
    Source:
https://www.yelp.com/biz/toys-that-teach-richmond-2</t>
      </text>
    </comment>
    <comment ref="F20" authorId="13" shapeId="0" xr:uid="{D968D778-40D0-4D4B-B23F-A17EB52D26A8}">
      <text>
        <t>[Threaded comment]
Your version of Excel allows you to read this threaded comment; however, any edits to it will get removed if the file is opened in a newer version of Excel. Learn more: https://go.microsoft.com/fwlink/?linkid=870924
Comment:
    Source: https://my.ibisworld.com/us/en/industry-specialized/od6117/competitive-landscape#market-share-concentration</t>
      </text>
    </comment>
    <comment ref="J20" authorId="14" shapeId="0" xr:uid="{C7C87DA6-D5F4-4507-9551-D5339D0A1E55}">
      <text>
        <t>[Threaded comment]
Your version of Excel allows you to read this threaded comment; however, any edits to it will get removed if the file is opened in a newer version of Excel. Learn more: https://go.microsoft.com/fwlink/?linkid=870924
Comment:
    Source: https://www.toyassociation.org/ta/research/data/u-s-sales-data/toys/research-and-data/data/us-sales-data.aspx</t>
      </text>
    </comment>
    <comment ref="J26" authorId="15" shapeId="0" xr:uid="{70A4C1A2-FEE1-499D-86F2-C28BE4F2A385}">
      <text>
        <t>[Threaded comment]
Your version of Excel allows you to read this threaded comment; however, any edits to it will get removed if the file is opened in a newer version of Excel. Learn more: https://go.microsoft.com/fwlink/?linkid=870924
Comment:
    Source: https://www.toyassociation.org/ta/research/data/u-s-sales-data/toys/research-and-data/data/us-sales-data.aspx</t>
      </text>
    </comment>
    <comment ref="L26" authorId="16" shapeId="0" xr:uid="{C967BC22-1C0F-4C51-B822-5E47CA8F225B}">
      <text>
        <t>[Threaded comment]
Your version of Excel allows you to read this threaded comment; however, any edits to it will get removed if the file is opened in a newer version of Excel. Learn more: https://go.microsoft.com/fwlink/?linkid=870924
Comment:
    Source: https://www.pymnts.com/whole-paycheck-consumer-spending/2020/amazon-walmart-toy-retail-sales/</t>
      </text>
    </comment>
    <comment ref="J32" authorId="17" shapeId="0" xr:uid="{DA172834-ACD4-4ED4-B6BF-CCF9D25B72B5}">
      <text>
        <t>[Threaded comment]
Your version of Excel allows you to read this threaded comment; however, any edits to it will get removed if the file is opened in a newer version of Excel. Learn more: https://go.microsoft.com/fwlink/?linkid=870924
Comment:
    Source: https://www.toyassociation.org/ta/research/data/u-s-sales-data/toys/research-and-data/data/us-sales-data.aspx</t>
      </text>
    </comment>
    <comment ref="L32" authorId="18" shapeId="0" xr:uid="{F7E6AEEA-5784-44F8-8986-1C3B768DC056}">
      <text>
        <t>[Threaded comment]
Your version of Excel allows you to read this threaded comment; however, any edits to it will get removed if the file is opened in a newer version of Excel. Learn more: https://go.microsoft.com/fwlink/?linkid=870924
Comment:
    Source: https://www.pymnts.com/whole-paycheck-consumer-spending/2020/amazon-walmart-toy-retail-sales/</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tc={F169F65B-FE42-4F5B-A854-5D40B1FE6FC4}</author>
    <author>tc={CF5EEF84-82C6-444E-A8C4-196A710F0015}</author>
    <author>tc={1190817C-B87B-9C42-A9ED-D5629C96ECC6}</author>
    <author>tc={34455A06-13F4-4848-8398-09EFADE64903}</author>
    <author>tc={D3CC6D33-A0B7-490C-8832-18614AA5A938}</author>
    <author>tc={802CF0E0-A8D5-446D-A8E6-8A1AC22ECF10}</author>
    <author>tc={31404C63-012C-CC49-8B5A-4AD2DF8EF48F}</author>
    <author>tc={74F87156-5520-114D-945E-28A5854810BD}</author>
    <author>tc={ED956D10-124B-1847-8CBB-141B7F3734C7}</author>
    <author>tc={A050E47E-4F21-684B-B102-93AB6D283FCA}</author>
    <author>tc={38F7C39E-2BD8-41C0-B0FA-EB4DFB942945}</author>
    <author>tc={742E1EE3-BDE2-4E87-93BA-D7548C8BE5CF}</author>
    <author>tc={7A60B3D7-8BE1-434A-A738-A197580597E9}</author>
    <author>tc={F8C76991-F16C-5A43-8021-AC2A9CAF21B3}</author>
    <author>Matthew Mullen</author>
    <author>tc={A93CD5BE-676F-4FEA-B6AE-695E17AA049E}</author>
    <author>tc={77C23188-5AC4-4124-8F44-E117CFA65463}</author>
    <author>tc={1E495CC3-6874-412A-B4A6-CFA7496E9423}</author>
    <author>tc={4E88C04E-9EC2-42C0-8A62-6C550C4EFE82}</author>
    <author>tc={5F597FFB-91BC-44C0-8650-BA7A29C92D15}</author>
    <author>tc={4D59EF80-5EB9-463E-A4D0-D18DD451FC49}</author>
    <author>tc={7749A080-3F48-4D77-AAC3-6502077E2A0F}</author>
    <author>tc={69786D51-8DF9-4E97-9700-8A9C4E2A1FBF}</author>
    <author>tc={DDC05DA1-37E6-4647-8E0B-944201EFF092}</author>
    <author>Yang, Xincheng</author>
    <author>tc={A37C16FF-CCEC-7447-8D5B-506F5119EBF0}</author>
    <author>tc={ABCCEE65-453F-4C34-8B78-F8B197A03D98}</author>
    <author>tc={198FF6EA-D696-4730-8020-D048BBFFE24A}</author>
  </authors>
  <commentList>
    <comment ref="C9" authorId="0" shapeId="0" xr:uid="{F169F65B-FE42-4F5B-A854-5D40B1FE6FC4}">
      <text>
        <t>[Threaded comment]
Your version of Excel allows you to read this threaded comment; however, any edits to it will get removed if the file is opened in a newer version of Excel. Learn more: https://go.microsoft.com/fwlink/?linkid=870924
Comment:
    Source: “Bus Exterior Ads.” Bus Exterior Advertising - Blue Line Media. Accessed December 6, 2021. https://www.bluelinemedia.com/bus-advertising/bus-exterior. </t>
      </text>
    </comment>
    <comment ref="C22" authorId="1" shapeId="0" xr:uid="{CF5EEF84-82C6-444E-A8C4-196A710F0015}">
      <text>
        <t xml:space="preserve">[Threaded comment]
Your version of Excel allows you to read this threaded comment; however, any edits to it will get removed if the file is opened in a newer version of Excel. Learn more: https://go.microsoft.com/fwlink/?linkid=870924
Comment:
    &lt;50% because original calculated awareness was too high, adjusted to reflect our segmentation tree
Reply:
    “Mission.” Parent Media Association. Accessed December 6, 2021. https://parentmedia.org/. </t>
      </text>
    </comment>
    <comment ref="I22" authorId="2" shapeId="0" xr:uid="{1190817C-B87B-9C42-A9ED-D5629C96ECC6}">
      <text>
        <t>[Threaded comment]
Your version of Excel allows you to read this threaded comment; however, any edits to it will get removed if the file is opened in a newer version of Excel. Learn more: https://go.microsoft.com/fwlink/?linkid=870924
Comment:
    &lt;50% because original calculated awareness was too high, adjusted to reflect our segmentation tree</t>
      </text>
    </comment>
    <comment ref="O22" authorId="3" shapeId="0" xr:uid="{34455A06-13F4-4848-8398-09EFADE64903}">
      <text>
        <t>[Threaded comment]
Your version of Excel allows you to read this threaded comment; however, any edits to it will get removed if the file is opened in a newer version of Excel. Learn more: https://go.microsoft.com/fwlink/?linkid=870924
Comment:
    &lt;50% because original calculated awareness was too high, adjusted to reflect our segmentation tree</t>
      </text>
    </comment>
    <comment ref="I24" authorId="4" shapeId="0" xr:uid="{D3CC6D33-A0B7-490C-8832-18614AA5A938}">
      <text>
        <t>[Threaded comment]
Your version of Excel allows you to read this threaded comment; however, any edits to it will get removed if the file is opened in a newer version of Excel. Learn more: https://go.microsoft.com/fwlink/?linkid=870924
Comment:
    Source:“PMA Group Buy 2018-19-Updated - Parent Media.” Accessed December 6, 2021. https://parentmedia.org/wp-content/uploads/2019/04/PMA-Group-Buy-2018-19-Updated.pdf. </t>
      </text>
    </comment>
    <comment ref="O24" authorId="5" shapeId="0" xr:uid="{802CF0E0-A8D5-446D-A8E6-8A1AC22ECF10}">
      <text>
        <t>[Threaded comment]
Your version of Excel allows you to read this threaded comment; however, any edits to it will get removed if the file is opened in a newer version of Excel. Learn more: https://go.microsoft.com/fwlink/?linkid=870924
Comment:
    Source:“PMA Group Buy 2018-19-Updated - Parent Media.” Accessed December 6, 2021. https://parentmedia.org/wp-content/uploads/2019/04/PMA-Group-Buy-2018-19-Updated.pdf. </t>
      </text>
    </comment>
    <comment ref="V25" authorId="6" shapeId="0" xr:uid="{31404C63-012C-CC49-8B5A-4AD2DF8EF48F}">
      <text>
        <t>[Threaded comment]
Your version of Excel allows you to read this threaded comment; however, any edits to it will get removed if the file is opened in a newer version of Excel. Learn more: https://go.microsoft.com/fwlink/?linkid=870924
Comment:
    https://secureservercdn.net/166.62.112.107/59m.d99.myftpupload.com/wp-content/uploads/2020/10/PMA-Group-Buy-2020-1-1.pdf</t>
      </text>
    </comment>
    <comment ref="C28" authorId="7" shapeId="0" xr:uid="{74F87156-5520-114D-945E-28A5854810BD}">
      <text>
        <t>[Threaded comment]
Your version of Excel allows you to read this threaded comment; however, any edits to it will get removed if the file is opened in a newer version of Excel. Learn more: https://go.microsoft.com/fwlink/?linkid=870924
Comment:
    PMC sells 3 insertions max, annually. We have adjusted this to 4 ads per year according to Core Adjustments
Reply:
    Source: https://secureservercdn.net/166.62.112.107/59m.d99.myftpupload.com/wp-content/uploads/2020/10/PMA-Group-Buy-2020-1-1.pdf</t>
      </text>
    </comment>
    <comment ref="I28" authorId="8" shapeId="0" xr:uid="{ED956D10-124B-1847-8CBB-141B7F3734C7}">
      <text>
        <t>[Threaded comment]
Your version of Excel allows you to read this threaded comment; however, any edits to it will get removed if the file is opened in a newer version of Excel. Learn more: https://go.microsoft.com/fwlink/?linkid=870924
Comment:
    PMC sells 3 insertions max, annually. We have adjusted this to 4 ads per year according to Core Adjustments
Reply:
    Source: https://secureservercdn.net/166.62.112.107/59m.d99.myftpupload.com/wp-content/uploads/2020/10/PMA-Group-Buy-2020-1-1.pdf</t>
      </text>
    </comment>
    <comment ref="O28" authorId="9" shapeId="0" xr:uid="{A050E47E-4F21-684B-B102-93AB6D283FCA}">
      <text>
        <t>[Threaded comment]
Your version of Excel allows you to read this threaded comment; however, any edits to it will get removed if the file is opened in a newer version of Excel. Learn more: https://go.microsoft.com/fwlink/?linkid=870924
Comment:
    PMC sells 3 insertions max, annually. We have adjusted this to 4 ads per year according to Core Adjustments
Reply:
    Source: https://secureservercdn.net/166.62.112.107/59m.d99.myftpupload.com/wp-content/uploads/2020/10/PMA-Group-Buy-2020-1-1.pdf</t>
      </text>
    </comment>
    <comment ref="C46" authorId="10" shapeId="0" xr:uid="{38F7C39E-2BD8-41C0-B0FA-EB4DFB942945}">
      <text>
        <t>[Threaded comment]
Your version of Excel allows you to read this threaded comment; however, any edits to it will get removed if the file is opened in a newer version of Excel. Learn more: https://go.microsoft.com/fwlink/?linkid=870924
Comment:
    Source: https://howtostartanllc.com/business-ideas/bounce-house</t>
      </text>
    </comment>
    <comment ref="C47" authorId="11" shapeId="0" xr:uid="{742E1EE3-BDE2-4E87-93BA-D7548C8BE5CF}">
      <text>
        <t>[Threaded comment]
Your version of Excel allows you to read this threaded comment; however, any edits to it will get removed if the file is opened in a newer version of Excel. Learn more: https://go.microsoft.com/fwlink/?linkid=870924
Comment:
    Source: https://www.alibaba.com/showroom/advertising-inflatable-doll.html</t>
      </text>
    </comment>
    <comment ref="C70" authorId="12" shapeId="0" xr:uid="{7A60B3D7-8BE1-434A-A738-A197580597E9}">
      <text>
        <t>[Threaded comment]
Your version of Excel allows you to read this threaded comment; however, any edits to it will get removed if the file is opened in a newer version of Excel. Learn more: https://go.microsoft.com/fwlink/?linkid=870924
Comment:
    Adner, Zohar. Interview. By Maderlin Weng. 15 November 2021.</t>
      </text>
    </comment>
    <comment ref="B96" authorId="13" shapeId="0" xr:uid="{F8C76991-F16C-5A43-8021-AC2A9CAF21B3}">
      <text>
        <t>[Threaded comment]
Your version of Excel allows you to read this threaded comment; however, any edits to it will get removed if the file is opened in a newer version of Excel. Learn more: https://go.microsoft.com/fwlink/?linkid=870924
Comment:
    “American Airlines® - Find Dallas to New York Flights.” Accessed December 6, 2021. https://www.aa.com/en-us/flights-from-dallas-to-new-york. 
Reply:
    flight citation here</t>
      </text>
    </comment>
    <comment ref="D96" authorId="14" shapeId="0" xr:uid="{FCA96DC7-1CF0-4CAA-BB59-25F2BFF14DA7}">
      <text>
        <r>
          <rPr>
            <sz val="11"/>
            <color theme="1"/>
            <rFont val="Calibri"/>
            <family val="2"/>
            <scheme val="minor"/>
          </rPr>
          <t>Matthew Mullen:
Actual flight cost
Source: 
https://www.aa.com/en-us/flights-from-dallas-to-new-york</t>
        </r>
      </text>
    </comment>
    <comment ref="G96" authorId="15" shapeId="0" xr:uid="{A93CD5BE-676F-4FEA-B6AE-695E17AA049E}">
      <text>
        <t>[Threaded comment]
Your version of Excel allows you to read this threaded comment; however, any edits to it will get removed if the file is opened in a newer version of Excel. Learn more: https://go.microsoft.com/fwlink/?linkid=870924
Comment:
    8 hours x 4 days x 2 local employees</t>
      </text>
    </comment>
    <comment ref="H96" authorId="14" shapeId="0" xr:uid="{C0B6C1B0-2B5F-4195-AFD7-7F906F24754E}">
      <text>
        <r>
          <rPr>
            <b/>
            <sz val="9"/>
            <color rgb="FF000000"/>
            <rFont val="Tahoma"/>
            <family val="2"/>
          </rPr>
          <t>Matthew Mullen:</t>
        </r>
        <r>
          <rPr>
            <sz val="9"/>
            <color rgb="FF000000"/>
            <rFont val="Tahoma"/>
            <family val="2"/>
          </rPr>
          <t xml:space="preserve">
</t>
        </r>
        <r>
          <rPr>
            <sz val="9"/>
            <color rgb="FF000000"/>
            <rFont val="Tahoma"/>
            <family val="2"/>
          </rPr>
          <t>Use assumption from IMC</t>
        </r>
      </text>
    </comment>
    <comment ref="M96" authorId="14" shapeId="0" xr:uid="{60E6388D-4871-4001-BAB0-694CFAA9CC70}">
      <text>
        <r>
          <rPr>
            <b/>
            <sz val="9"/>
            <color rgb="FF000000"/>
            <rFont val="Tahoma"/>
            <family val="2"/>
          </rPr>
          <t>Matthew Mullen:</t>
        </r>
        <r>
          <rPr>
            <sz val="9"/>
            <color rgb="FF000000"/>
            <rFont val="Tahoma"/>
            <family val="2"/>
          </rPr>
          <t xml:space="preserve">
</t>
        </r>
        <r>
          <rPr>
            <sz val="9"/>
            <color rgb="FF000000"/>
            <rFont val="Tahoma"/>
            <family val="2"/>
          </rPr>
          <t xml:space="preserve">Using IMC tutorial assumption
</t>
        </r>
      </text>
    </comment>
    <comment ref="N96" authorId="14" shapeId="0" xr:uid="{712F38A1-695E-448E-80CE-4A5800038F35}">
      <text>
        <r>
          <rPr>
            <b/>
            <sz val="9"/>
            <color rgb="FF000000"/>
            <rFont val="Tahoma"/>
            <family val="2"/>
          </rPr>
          <t>Matthew Mullen:</t>
        </r>
        <r>
          <rPr>
            <sz val="9"/>
            <color rgb="FF000000"/>
            <rFont val="Tahoma"/>
            <family val="2"/>
          </rPr>
          <t xml:space="preserve">
</t>
        </r>
        <r>
          <rPr>
            <sz val="9"/>
            <color rgb="FF000000"/>
            <rFont val="Tahoma"/>
            <family val="2"/>
          </rPr>
          <t>Uses IMC assumption</t>
        </r>
      </text>
    </comment>
    <comment ref="D97" authorId="14" shapeId="0" xr:uid="{FECA4F50-8410-4AFF-88D4-82140CCB2910}">
      <text>
        <r>
          <rPr>
            <sz val="11"/>
            <color theme="1"/>
            <rFont val="Calibri"/>
            <family val="2"/>
            <scheme val="minor"/>
          </rPr>
          <t>Matthew Mullen:
Actual cost of flight
https://www.aa.com/booking/flights/choose-flights/flight1;jsessionid=622D4317D5C6A638FDE2D5D70007B748?bookingPathStateId=1638808020952-237&amp;locale=en_US</t>
        </r>
      </text>
    </comment>
    <comment ref="G97" authorId="16" shapeId="0" xr:uid="{77C23188-5AC4-4124-8F44-E117CFA65463}">
      <text>
        <t>[Threaded comment]
Your version of Excel allows you to read this threaded comment; however, any edits to it will get removed if the file is opened in a newer version of Excel. Learn more: https://go.microsoft.com/fwlink/?linkid=870924
Comment:
    hourly rate x 3 days x 8 hours a day x 2 local employees</t>
      </text>
    </comment>
    <comment ref="I97" authorId="14" shapeId="0" xr:uid="{93E03D81-043F-493C-9925-D092410DDC48}">
      <text>
        <r>
          <rPr>
            <b/>
            <sz val="9"/>
            <color rgb="FF000000"/>
            <rFont val="Tahoma"/>
            <family val="2"/>
          </rPr>
          <t>Matthew Mullen:</t>
        </r>
        <r>
          <rPr>
            <sz val="9"/>
            <color rgb="FF000000"/>
            <rFont val="Tahoma"/>
            <family val="2"/>
          </rPr>
          <t xml:space="preserve">
</t>
        </r>
        <r>
          <rPr>
            <sz val="9"/>
            <color rgb="FF000000"/>
            <rFont val="Tahoma"/>
            <family val="2"/>
          </rPr>
          <t>Assumption that it costs similar / same amount as NY and Dallas Toy Fairs</t>
        </r>
      </text>
    </comment>
    <comment ref="N97" authorId="14" shapeId="0" xr:uid="{ED3B1833-044F-4731-B941-39942E700517}">
      <text>
        <r>
          <rPr>
            <b/>
            <sz val="9"/>
            <color rgb="FF000000"/>
            <rFont val="Tahoma"/>
            <family val="2"/>
          </rPr>
          <t>Matthew Mullen:</t>
        </r>
        <r>
          <rPr>
            <sz val="9"/>
            <color rgb="FF000000"/>
            <rFont val="Tahoma"/>
            <family val="2"/>
          </rPr>
          <t xml:space="preserve">
</t>
        </r>
        <r>
          <rPr>
            <sz val="9"/>
            <color rgb="FF000000"/>
            <rFont val="Tahoma"/>
            <family val="2"/>
          </rPr>
          <t>Uses IMC assumption</t>
        </r>
      </text>
    </comment>
    <comment ref="D98" authorId="14" shapeId="0" xr:uid="{F16FF8BE-0EEF-4B7E-A2B0-9E1121E6C4CE}">
      <text>
        <r>
          <rPr>
            <sz val="11"/>
            <color theme="1"/>
            <rFont val="Calibri"/>
            <family val="2"/>
            <scheme val="minor"/>
          </rPr>
          <t>Matthew Mullen:
Average round trip price (spanning across the year)
https://www.aa.com/booking/flights/choose-flights/flight1?bookingPathStateId=1638808109478-973&amp;locale=en_US</t>
        </r>
      </text>
    </comment>
    <comment ref="I98" authorId="14" shapeId="0" xr:uid="{628B04B6-AEA8-4D35-BF97-E20C745E16DB}">
      <text>
        <r>
          <rPr>
            <b/>
            <sz val="9"/>
            <color rgb="FF000000"/>
            <rFont val="Tahoma"/>
            <family val="2"/>
          </rPr>
          <t>Matthew Mullen:</t>
        </r>
        <r>
          <rPr>
            <sz val="9"/>
            <color rgb="FF000000"/>
            <rFont val="Tahoma"/>
            <family val="2"/>
          </rPr>
          <t xml:space="preserve">
</t>
        </r>
        <r>
          <rPr>
            <sz val="9"/>
            <color rgb="FF000000"/>
            <rFont val="Tahoma"/>
            <family val="2"/>
          </rPr>
          <t>Assumption that it costs similar / same amount as NY and Dallas Toy Fairs</t>
        </r>
      </text>
    </comment>
    <comment ref="N98" authorId="14" shapeId="0" xr:uid="{78BF48BE-C3B5-49F2-A96D-0D46C9CFCBC5}">
      <text>
        <r>
          <rPr>
            <b/>
            <sz val="9"/>
            <color rgb="FF000000"/>
            <rFont val="Tahoma"/>
            <family val="2"/>
          </rPr>
          <t>Matthew Mullen:</t>
        </r>
        <r>
          <rPr>
            <sz val="9"/>
            <color rgb="FF000000"/>
            <rFont val="Tahoma"/>
            <family val="2"/>
          </rPr>
          <t xml:space="preserve">
</t>
        </r>
        <r>
          <rPr>
            <sz val="9"/>
            <color rgb="FF000000"/>
            <rFont val="Tahoma"/>
            <family val="2"/>
          </rPr>
          <t>Uses IMC assumption</t>
        </r>
      </text>
    </comment>
    <comment ref="D105" authorId="14" shapeId="0" xr:uid="{ED925D17-F643-43D8-91E7-E9A63A17E34E}">
      <text>
        <r>
          <rPr>
            <sz val="11"/>
            <color theme="1"/>
            <rFont val="Calibri"/>
            <family val="2"/>
            <scheme val="minor"/>
          </rPr>
          <t xml:space="preserve">Matthew Mullen:
Actual flight cost
https://www.aa.com/en-us/flights-from-dallas-to-new-york
</t>
        </r>
      </text>
    </comment>
    <comment ref="G105" authorId="17" shapeId="0" xr:uid="{1E495CC3-6874-412A-B4A6-CFA7496E9423}">
      <text>
        <t>[Threaded comment]
Your version of Excel allows you to read this threaded comment; however, any edits to it will get removed if the file is opened in a newer version of Excel. Learn more: https://go.microsoft.com/fwlink/?linkid=870924
Comment:
    8 hours x 4 days x 2 local employees</t>
      </text>
    </comment>
    <comment ref="H105" authorId="14" shapeId="0" xr:uid="{8460EC0E-D88C-4DC6-95C4-73EFC8952510}">
      <text>
        <r>
          <rPr>
            <b/>
            <sz val="9"/>
            <color rgb="FF000000"/>
            <rFont val="Tahoma"/>
            <family val="2"/>
          </rPr>
          <t>Matthew Mullen:</t>
        </r>
        <r>
          <rPr>
            <sz val="9"/>
            <color rgb="FF000000"/>
            <rFont val="Tahoma"/>
            <family val="2"/>
          </rPr>
          <t xml:space="preserve">
</t>
        </r>
        <r>
          <rPr>
            <sz val="9"/>
            <color rgb="FF000000"/>
            <rFont val="Tahoma"/>
            <family val="2"/>
          </rPr>
          <t>Use assumption from IMC</t>
        </r>
      </text>
    </comment>
    <comment ref="M105" authorId="14" shapeId="0" xr:uid="{F0EA1E2E-29CA-42B9-B513-F83116B6D21A}">
      <text>
        <r>
          <rPr>
            <b/>
            <sz val="9"/>
            <color rgb="FF000000"/>
            <rFont val="Tahoma"/>
            <family val="2"/>
          </rPr>
          <t>Matthew Mullen:</t>
        </r>
        <r>
          <rPr>
            <sz val="9"/>
            <color rgb="FF000000"/>
            <rFont val="Tahoma"/>
            <family val="2"/>
          </rPr>
          <t xml:space="preserve">
</t>
        </r>
        <r>
          <rPr>
            <sz val="9"/>
            <color rgb="FF000000"/>
            <rFont val="Tahoma"/>
            <family val="2"/>
          </rPr>
          <t xml:space="preserve">Using IMC tutorial assumption
</t>
        </r>
      </text>
    </comment>
    <comment ref="N105" authorId="14" shapeId="0" xr:uid="{06C00CB6-BCBC-4B51-AF4A-81F48BEF0664}">
      <text>
        <r>
          <rPr>
            <b/>
            <sz val="9"/>
            <color rgb="FF000000"/>
            <rFont val="Tahoma"/>
            <family val="2"/>
          </rPr>
          <t>Matthew Mullen:</t>
        </r>
        <r>
          <rPr>
            <sz val="9"/>
            <color rgb="FF000000"/>
            <rFont val="Tahoma"/>
            <family val="2"/>
          </rPr>
          <t xml:space="preserve">
</t>
        </r>
        <r>
          <rPr>
            <sz val="9"/>
            <color rgb="FF000000"/>
            <rFont val="Tahoma"/>
            <family val="2"/>
          </rPr>
          <t>Uses IMC assumption</t>
        </r>
      </text>
    </comment>
    <comment ref="D106" authorId="14" shapeId="0" xr:uid="{B75A3FA7-BEE1-40E5-8678-97A83885A5EC}">
      <text>
        <r>
          <rPr>
            <sz val="11"/>
            <color theme="1"/>
            <rFont val="Calibri"/>
            <family val="2"/>
            <scheme val="minor"/>
          </rPr>
          <t xml:space="preserve">Matthew Mullen:
Actual cost of flight
https://www.aa.com/booking/flights/choose-flights/flight1;jsessionid=622D4317D5C6A638FDE2D5D70007B748?bookingPathStateId=1638808020952-237&amp;locale=en_US
</t>
        </r>
      </text>
    </comment>
    <comment ref="G106" authorId="18" shapeId="0" xr:uid="{4E88C04E-9EC2-42C0-8A62-6C550C4EFE82}">
      <text>
        <t>[Threaded comment]
Your version of Excel allows you to read this threaded comment; however, any edits to it will get removed if the file is opened in a newer version of Excel. Learn more: https://go.microsoft.com/fwlink/?linkid=870924
Comment:
    hourly rate x 3 days x 8 hours a day x 2 local employees</t>
      </text>
    </comment>
    <comment ref="I106" authorId="14" shapeId="0" xr:uid="{B87A4844-6FEF-4443-95AE-F13DBAB810F8}">
      <text>
        <r>
          <rPr>
            <b/>
            <sz val="9"/>
            <color rgb="FF000000"/>
            <rFont val="Tahoma"/>
            <family val="2"/>
          </rPr>
          <t>Matthew Mullen:</t>
        </r>
        <r>
          <rPr>
            <sz val="9"/>
            <color rgb="FF000000"/>
            <rFont val="Tahoma"/>
            <family val="2"/>
          </rPr>
          <t xml:space="preserve">
</t>
        </r>
        <r>
          <rPr>
            <sz val="9"/>
            <color rgb="FF000000"/>
            <rFont val="Tahoma"/>
            <family val="2"/>
          </rPr>
          <t>Assumption that it costs similar / same amount as NY and Dallas Toy Fairs</t>
        </r>
      </text>
    </comment>
    <comment ref="N106" authorId="14" shapeId="0" xr:uid="{061A8534-BA53-4C68-9166-CA0CA8CF9E94}">
      <text>
        <r>
          <rPr>
            <b/>
            <sz val="9"/>
            <color rgb="FF000000"/>
            <rFont val="Tahoma"/>
            <family val="2"/>
          </rPr>
          <t>Matthew Mullen:</t>
        </r>
        <r>
          <rPr>
            <sz val="9"/>
            <color rgb="FF000000"/>
            <rFont val="Tahoma"/>
            <family val="2"/>
          </rPr>
          <t xml:space="preserve">
</t>
        </r>
        <r>
          <rPr>
            <sz val="9"/>
            <color rgb="FF000000"/>
            <rFont val="Tahoma"/>
            <family val="2"/>
          </rPr>
          <t>Uses IMC assumption</t>
        </r>
      </text>
    </comment>
    <comment ref="D107" authorId="14" shapeId="0" xr:uid="{CEB2F3C8-7C19-4148-9C8E-A876610C1493}">
      <text>
        <r>
          <rPr>
            <sz val="11"/>
            <color theme="1"/>
            <rFont val="Calibri"/>
            <family val="2"/>
            <scheme val="minor"/>
          </rPr>
          <t>Matthew Mullen:
Average round trip price (spanning across the year)
https://www.aa.com/booking/flights/choose-flights/flight1?bookingPathStateId=1638808109478-973&amp;locale=en_US</t>
        </r>
      </text>
    </comment>
    <comment ref="I107" authorId="14" shapeId="0" xr:uid="{244AB0DE-F172-4F9F-B06E-B9206F5A32AD}">
      <text>
        <r>
          <rPr>
            <b/>
            <sz val="9"/>
            <color rgb="FF000000"/>
            <rFont val="Tahoma"/>
            <family val="2"/>
          </rPr>
          <t>Matthew Mullen:</t>
        </r>
        <r>
          <rPr>
            <sz val="9"/>
            <color rgb="FF000000"/>
            <rFont val="Tahoma"/>
            <family val="2"/>
          </rPr>
          <t xml:space="preserve">
</t>
        </r>
        <r>
          <rPr>
            <sz val="9"/>
            <color rgb="FF000000"/>
            <rFont val="Tahoma"/>
            <family val="2"/>
          </rPr>
          <t>Assumption that it costs similar / same amount as NY and Dallas Toy Fairs</t>
        </r>
      </text>
    </comment>
    <comment ref="N107" authorId="14" shapeId="0" xr:uid="{7745F5B0-BB3C-4CE6-9F4A-212019A38C32}">
      <text>
        <r>
          <rPr>
            <b/>
            <sz val="9"/>
            <color rgb="FF000000"/>
            <rFont val="Tahoma"/>
            <family val="2"/>
          </rPr>
          <t>Matthew Mullen:</t>
        </r>
        <r>
          <rPr>
            <sz val="9"/>
            <color rgb="FF000000"/>
            <rFont val="Tahoma"/>
            <family val="2"/>
          </rPr>
          <t xml:space="preserve">
</t>
        </r>
        <r>
          <rPr>
            <sz val="9"/>
            <color rgb="FF000000"/>
            <rFont val="Tahoma"/>
            <family val="2"/>
          </rPr>
          <t>Uses IMC assumption</t>
        </r>
      </text>
    </comment>
    <comment ref="D114" authorId="14" shapeId="0" xr:uid="{F0A16107-DA33-46C8-BAA0-3813E5FF4AB3}">
      <text>
        <r>
          <rPr>
            <sz val="11"/>
            <color theme="1"/>
            <rFont val="Calibri"/>
            <family val="2"/>
            <scheme val="minor"/>
          </rPr>
          <t>Matthew Mullen:
Actual flight cost
https://www.aa.com/en-us/flights-from-dallas-to-new-york</t>
        </r>
      </text>
    </comment>
    <comment ref="G114" authorId="19" shapeId="0" xr:uid="{5F597FFB-91BC-44C0-8650-BA7A29C92D15}">
      <text>
        <t>[Threaded comment]
Your version of Excel allows you to read this threaded comment; however, any edits to it will get removed if the file is opened in a newer version of Excel. Learn more: https://go.microsoft.com/fwlink/?linkid=870924
Comment:
    8 hours x 4 days x 2 local employees</t>
      </text>
    </comment>
    <comment ref="H114" authorId="14" shapeId="0" xr:uid="{0EF01ADC-E100-4CD8-9BA8-4790890086EE}">
      <text>
        <r>
          <rPr>
            <b/>
            <sz val="9"/>
            <color rgb="FF000000"/>
            <rFont val="Tahoma"/>
            <family val="2"/>
          </rPr>
          <t>Matthew Mullen:</t>
        </r>
        <r>
          <rPr>
            <sz val="9"/>
            <color rgb="FF000000"/>
            <rFont val="Tahoma"/>
            <family val="2"/>
          </rPr>
          <t xml:space="preserve">
</t>
        </r>
        <r>
          <rPr>
            <sz val="9"/>
            <color rgb="FF000000"/>
            <rFont val="Tahoma"/>
            <family val="2"/>
          </rPr>
          <t>Use assumption from IMC</t>
        </r>
      </text>
    </comment>
    <comment ref="M114" authorId="14" shapeId="0" xr:uid="{32F02F53-289D-4EEE-A0AA-E1FA4F981836}">
      <text>
        <r>
          <rPr>
            <b/>
            <sz val="9"/>
            <color rgb="FF000000"/>
            <rFont val="Tahoma"/>
            <family val="2"/>
          </rPr>
          <t>Matthew Mullen:</t>
        </r>
        <r>
          <rPr>
            <sz val="9"/>
            <color rgb="FF000000"/>
            <rFont val="Tahoma"/>
            <family val="2"/>
          </rPr>
          <t xml:space="preserve">
</t>
        </r>
        <r>
          <rPr>
            <sz val="9"/>
            <color rgb="FF000000"/>
            <rFont val="Tahoma"/>
            <family val="2"/>
          </rPr>
          <t xml:space="preserve">Using IMC tutorial assumption
</t>
        </r>
      </text>
    </comment>
    <comment ref="N114" authorId="14" shapeId="0" xr:uid="{407ACFCD-913A-4066-87CD-7A26CE7DCF0A}">
      <text>
        <r>
          <rPr>
            <b/>
            <sz val="9"/>
            <color rgb="FF000000"/>
            <rFont val="Tahoma"/>
            <family val="2"/>
          </rPr>
          <t>Matthew Mullen:</t>
        </r>
        <r>
          <rPr>
            <sz val="9"/>
            <color rgb="FF000000"/>
            <rFont val="Tahoma"/>
            <family val="2"/>
          </rPr>
          <t xml:space="preserve">
</t>
        </r>
        <r>
          <rPr>
            <sz val="9"/>
            <color rgb="FF000000"/>
            <rFont val="Tahoma"/>
            <family val="2"/>
          </rPr>
          <t>Uses IMC assumption</t>
        </r>
      </text>
    </comment>
    <comment ref="D115" authorId="14" shapeId="0" xr:uid="{218E0ACA-DD67-4E2A-A6CD-A7F44A50C008}">
      <text>
        <r>
          <rPr>
            <sz val="11"/>
            <color theme="1"/>
            <rFont val="Calibri"/>
            <family val="2"/>
            <scheme val="minor"/>
          </rPr>
          <t>Matthew Mullen:
Actual cost of flight
https://www.aa.com/booking/flights/choose-flights/flight1;jsessionid=622D4317D5C6A638FDE2D5D70007B748?bookingPathStateId=1638808020952-237&amp;locale=en_US</t>
        </r>
      </text>
    </comment>
    <comment ref="G115" authorId="20" shapeId="0" xr:uid="{4D59EF80-5EB9-463E-A4D0-D18DD451FC49}">
      <text>
        <t>[Threaded comment]
Your version of Excel allows you to read this threaded comment; however, any edits to it will get removed if the file is opened in a newer version of Excel. Learn more: https://go.microsoft.com/fwlink/?linkid=870924
Comment:
    hourly rate x 3 days x 8 hours a day x 2 local employees</t>
      </text>
    </comment>
    <comment ref="I115" authorId="14" shapeId="0" xr:uid="{56AC9772-EA0A-438D-A909-31896AC07971}">
      <text>
        <r>
          <rPr>
            <b/>
            <sz val="9"/>
            <color rgb="FF000000"/>
            <rFont val="Tahoma"/>
            <family val="2"/>
          </rPr>
          <t>Matthew Mullen:</t>
        </r>
        <r>
          <rPr>
            <sz val="9"/>
            <color rgb="FF000000"/>
            <rFont val="Tahoma"/>
            <family val="2"/>
          </rPr>
          <t xml:space="preserve">
</t>
        </r>
        <r>
          <rPr>
            <sz val="9"/>
            <color rgb="FF000000"/>
            <rFont val="Tahoma"/>
            <family val="2"/>
          </rPr>
          <t>Assumption that it costs similar / same amount as NY and Dallas Toy Fairs</t>
        </r>
      </text>
    </comment>
    <comment ref="N115" authorId="14" shapeId="0" xr:uid="{28B7096C-1365-4EDC-ACAB-A32D2058F9F5}">
      <text>
        <r>
          <rPr>
            <b/>
            <sz val="9"/>
            <color rgb="FF000000"/>
            <rFont val="Tahoma"/>
            <family val="2"/>
          </rPr>
          <t>Matthew Mullen:</t>
        </r>
        <r>
          <rPr>
            <sz val="9"/>
            <color rgb="FF000000"/>
            <rFont val="Tahoma"/>
            <family val="2"/>
          </rPr>
          <t xml:space="preserve">
</t>
        </r>
        <r>
          <rPr>
            <sz val="9"/>
            <color rgb="FF000000"/>
            <rFont val="Tahoma"/>
            <family val="2"/>
          </rPr>
          <t>Uses IMC assumption</t>
        </r>
      </text>
    </comment>
    <comment ref="D116" authorId="14" shapeId="0" xr:uid="{1ED68968-E77D-4406-A132-75B483C62BD2}">
      <text>
        <r>
          <rPr>
            <sz val="11"/>
            <color theme="1"/>
            <rFont val="Calibri"/>
            <family val="2"/>
            <scheme val="minor"/>
          </rPr>
          <t>Matthew Mullen:
Average round trip price (spanning across the year)
https://www.aa.com/booking/flights/choose-flights/flight1?bookingPathStateId=1638808109478-973&amp;locale=en_US</t>
        </r>
      </text>
    </comment>
    <comment ref="I116" authorId="14" shapeId="0" xr:uid="{0FBFFE94-ADD2-4F2A-9457-05878F1D9569}">
      <text>
        <r>
          <rPr>
            <b/>
            <sz val="9"/>
            <color rgb="FF000000"/>
            <rFont val="Tahoma"/>
            <family val="2"/>
          </rPr>
          <t>Matthew Mullen:</t>
        </r>
        <r>
          <rPr>
            <sz val="9"/>
            <color rgb="FF000000"/>
            <rFont val="Tahoma"/>
            <family val="2"/>
          </rPr>
          <t xml:space="preserve">
</t>
        </r>
        <r>
          <rPr>
            <sz val="9"/>
            <color rgb="FF000000"/>
            <rFont val="Tahoma"/>
            <family val="2"/>
          </rPr>
          <t>Assumption that it costs similar / same amount as NY and Dallas Toy Fairs</t>
        </r>
      </text>
    </comment>
    <comment ref="N116" authorId="14" shapeId="0" xr:uid="{E318DD35-D04A-4942-8D28-B21D5A144FEF}">
      <text>
        <r>
          <rPr>
            <b/>
            <sz val="9"/>
            <color rgb="FF000000"/>
            <rFont val="Tahoma"/>
            <family val="2"/>
          </rPr>
          <t>Matthew Mullen:</t>
        </r>
        <r>
          <rPr>
            <sz val="9"/>
            <color rgb="FF000000"/>
            <rFont val="Tahoma"/>
            <family val="2"/>
          </rPr>
          <t xml:space="preserve">
</t>
        </r>
        <r>
          <rPr>
            <sz val="9"/>
            <color rgb="FF000000"/>
            <rFont val="Tahoma"/>
            <family val="2"/>
          </rPr>
          <t>Uses IMC assumption</t>
        </r>
      </text>
    </comment>
    <comment ref="D120" authorId="14" shapeId="0" xr:uid="{F4E018DD-4BF8-449E-897E-65F89EBFF007}">
      <text>
        <r>
          <rPr>
            <b/>
            <sz val="9"/>
            <color rgb="FF000000"/>
            <rFont val="Tahoma"/>
            <family val="2"/>
          </rPr>
          <t>Matthew Mullen:</t>
        </r>
        <r>
          <rPr>
            <sz val="9"/>
            <color rgb="FF000000"/>
            <rFont val="Tahoma"/>
            <family val="2"/>
          </rPr>
          <t xml:space="preserve">
</t>
        </r>
        <r>
          <rPr>
            <sz val="9"/>
            <color rgb="FF000000"/>
            <rFont val="Tahoma"/>
            <family val="2"/>
          </rPr>
          <t>Actual cost of flight</t>
        </r>
      </text>
    </comment>
    <comment ref="I120" authorId="14" shapeId="0" xr:uid="{6F3D7F08-7E8F-4A65-BCA0-CE5E84535739}">
      <text>
        <r>
          <rPr>
            <b/>
            <sz val="9"/>
            <color rgb="FF000000"/>
            <rFont val="Tahoma"/>
            <family val="2"/>
          </rPr>
          <t>Matthew Mullen:</t>
        </r>
        <r>
          <rPr>
            <sz val="9"/>
            <color rgb="FF000000"/>
            <rFont val="Tahoma"/>
            <family val="2"/>
          </rPr>
          <t xml:space="preserve">
</t>
        </r>
        <r>
          <rPr>
            <sz val="9"/>
            <color rgb="FF000000"/>
            <rFont val="Tahoma"/>
            <family val="2"/>
          </rPr>
          <t>Assumption that it costs similar / same amount as NY and Dallas Toy Fairs</t>
        </r>
      </text>
    </comment>
    <comment ref="N120" authorId="14" shapeId="0" xr:uid="{872BA25E-0CB6-41D2-BD04-5F94A2CB7C15}">
      <text>
        <r>
          <rPr>
            <b/>
            <sz val="9"/>
            <color rgb="FF000000"/>
            <rFont val="Tahoma"/>
            <family val="2"/>
          </rPr>
          <t>Matthew Mullen:</t>
        </r>
        <r>
          <rPr>
            <sz val="9"/>
            <color rgb="FF000000"/>
            <rFont val="Tahoma"/>
            <family val="2"/>
          </rPr>
          <t xml:space="preserve">
</t>
        </r>
        <r>
          <rPr>
            <sz val="9"/>
            <color rgb="FF000000"/>
            <rFont val="Tahoma"/>
            <family val="2"/>
          </rPr>
          <t>Uses IMC assumption</t>
        </r>
      </text>
    </comment>
    <comment ref="D126" authorId="14" shapeId="0" xr:uid="{E44B50E6-3420-482E-917D-B61DD9CE53D5}">
      <text>
        <r>
          <rPr>
            <sz val="11"/>
            <color theme="1"/>
            <rFont val="Calibri"/>
            <family val="2"/>
            <scheme val="minor"/>
          </rPr>
          <t>Matthew Mullen:
Actual flight cost
https://www.aa.com/en-us/flights-from-dallas-to-new-york</t>
        </r>
      </text>
    </comment>
    <comment ref="G126" authorId="21" shapeId="0" xr:uid="{7749A080-3F48-4D77-AAC3-6502077E2A0F}">
      <text>
        <t>[Threaded comment]
Your version of Excel allows you to read this threaded comment; however, any edits to it will get removed if the file is opened in a newer version of Excel. Learn more: https://go.microsoft.com/fwlink/?linkid=870924
Comment:
    8 hours x 4 days x 2 local employees</t>
      </text>
    </comment>
    <comment ref="H126" authorId="14" shapeId="0" xr:uid="{A80F3209-B1F2-4F55-872C-77AA2E350F26}">
      <text>
        <r>
          <rPr>
            <b/>
            <sz val="9"/>
            <color rgb="FF000000"/>
            <rFont val="Tahoma"/>
            <family val="2"/>
          </rPr>
          <t>Matthew Mullen:</t>
        </r>
        <r>
          <rPr>
            <sz val="9"/>
            <color rgb="FF000000"/>
            <rFont val="Tahoma"/>
            <family val="2"/>
          </rPr>
          <t xml:space="preserve">
</t>
        </r>
        <r>
          <rPr>
            <sz val="9"/>
            <color rgb="FF000000"/>
            <rFont val="Tahoma"/>
            <family val="2"/>
          </rPr>
          <t>Use assumption from IMC</t>
        </r>
      </text>
    </comment>
    <comment ref="M126" authorId="14" shapeId="0" xr:uid="{5EB5595C-2E75-4E40-B9E2-B08AC5A5EE5F}">
      <text>
        <r>
          <rPr>
            <b/>
            <sz val="9"/>
            <color rgb="FF000000"/>
            <rFont val="Tahoma"/>
            <family val="2"/>
          </rPr>
          <t>Matthew Mullen:</t>
        </r>
        <r>
          <rPr>
            <sz val="9"/>
            <color rgb="FF000000"/>
            <rFont val="Tahoma"/>
            <family val="2"/>
          </rPr>
          <t xml:space="preserve">
</t>
        </r>
        <r>
          <rPr>
            <sz val="9"/>
            <color rgb="FF000000"/>
            <rFont val="Tahoma"/>
            <family val="2"/>
          </rPr>
          <t xml:space="preserve">Using IMC tutorial assumption
</t>
        </r>
      </text>
    </comment>
    <comment ref="N126" authorId="14" shapeId="0" xr:uid="{DA397A92-9B66-4B0B-870D-24B6E2328E70}">
      <text>
        <r>
          <rPr>
            <b/>
            <sz val="9"/>
            <color rgb="FF000000"/>
            <rFont val="Tahoma"/>
            <family val="2"/>
          </rPr>
          <t>Matthew Mullen:</t>
        </r>
        <r>
          <rPr>
            <sz val="9"/>
            <color rgb="FF000000"/>
            <rFont val="Tahoma"/>
            <family val="2"/>
          </rPr>
          <t xml:space="preserve">
</t>
        </r>
        <r>
          <rPr>
            <sz val="9"/>
            <color rgb="FF000000"/>
            <rFont val="Tahoma"/>
            <family val="2"/>
          </rPr>
          <t>Uses IMC assumption</t>
        </r>
      </text>
    </comment>
    <comment ref="D127" authorId="14" shapeId="0" xr:uid="{6DF96CE6-A44B-41B8-9BE4-A70636658A0A}">
      <text>
        <r>
          <rPr>
            <sz val="11"/>
            <color theme="1"/>
            <rFont val="Calibri"/>
            <family val="2"/>
            <scheme val="minor"/>
          </rPr>
          <t>Matthew Mullen:
Actual cost of flight
https://www.aa.com/booking/flights/choose-flights/flight1;jsessionid=622D4317D5C6A638FDE2D5D70007B748?bookingPathStateId=1638808020952-237&amp;locale=en_US</t>
        </r>
      </text>
    </comment>
    <comment ref="G127" authorId="22" shapeId="0" xr:uid="{69786D51-8DF9-4E97-9700-8A9C4E2A1FBF}">
      <text>
        <t>[Threaded comment]
Your version of Excel allows you to read this threaded comment; however, any edits to it will get removed if the file is opened in a newer version of Excel. Learn more: https://go.microsoft.com/fwlink/?linkid=870924
Comment:
    hourly rate x 3 days x 8 hours a day x 2 local employees</t>
      </text>
    </comment>
    <comment ref="I127" authorId="14" shapeId="0" xr:uid="{4701A269-D0F1-4A26-B733-A910D73126FB}">
      <text>
        <r>
          <rPr>
            <b/>
            <sz val="9"/>
            <color rgb="FF000000"/>
            <rFont val="Tahoma"/>
            <family val="2"/>
          </rPr>
          <t>Matthew Mullen:</t>
        </r>
        <r>
          <rPr>
            <sz val="9"/>
            <color rgb="FF000000"/>
            <rFont val="Tahoma"/>
            <family val="2"/>
          </rPr>
          <t xml:space="preserve">
</t>
        </r>
        <r>
          <rPr>
            <sz val="9"/>
            <color rgb="FF000000"/>
            <rFont val="Tahoma"/>
            <family val="2"/>
          </rPr>
          <t>Assumption that it costs similar / same amount as NY and Dallas Toy Fairs</t>
        </r>
      </text>
    </comment>
    <comment ref="N127" authorId="14" shapeId="0" xr:uid="{5B822884-EEB4-4825-91C5-A612E15FD3EE}">
      <text>
        <r>
          <rPr>
            <b/>
            <sz val="9"/>
            <color rgb="FF000000"/>
            <rFont val="Tahoma"/>
            <family val="2"/>
          </rPr>
          <t>Matthew Mullen:</t>
        </r>
        <r>
          <rPr>
            <sz val="9"/>
            <color rgb="FF000000"/>
            <rFont val="Tahoma"/>
            <family val="2"/>
          </rPr>
          <t xml:space="preserve">
</t>
        </r>
        <r>
          <rPr>
            <sz val="9"/>
            <color rgb="FF000000"/>
            <rFont val="Tahoma"/>
            <family val="2"/>
          </rPr>
          <t>Uses IMC assumption</t>
        </r>
      </text>
    </comment>
    <comment ref="D128" authorId="14" shapeId="0" xr:uid="{E5B62254-2F31-4910-98BE-28BF458ACEA4}">
      <text>
        <r>
          <rPr>
            <sz val="11"/>
            <color theme="1"/>
            <rFont val="Calibri"/>
            <family val="2"/>
            <scheme val="minor"/>
          </rPr>
          <t>Matthew Mullen:
Average round trip price (spanning across the year)
https://www.aa.com/booking/flights/choose-flights/flight1?bookingPathStateId=1638808109478-973&amp;locale=en_US</t>
        </r>
      </text>
    </comment>
    <comment ref="I128" authorId="14" shapeId="0" xr:uid="{2470EF90-3577-46CE-806A-BD5D526E8C6D}">
      <text>
        <r>
          <rPr>
            <b/>
            <sz val="9"/>
            <color rgb="FF000000"/>
            <rFont val="Tahoma"/>
            <family val="2"/>
          </rPr>
          <t>Matthew Mullen:</t>
        </r>
        <r>
          <rPr>
            <sz val="9"/>
            <color rgb="FF000000"/>
            <rFont val="Tahoma"/>
            <family val="2"/>
          </rPr>
          <t xml:space="preserve">
</t>
        </r>
        <r>
          <rPr>
            <sz val="9"/>
            <color rgb="FF000000"/>
            <rFont val="Tahoma"/>
            <family val="2"/>
          </rPr>
          <t>Assumption that it costs similar / same amount as NY and Dallas Toy Fairs</t>
        </r>
      </text>
    </comment>
    <comment ref="N128" authorId="14" shapeId="0" xr:uid="{B95701BE-1AF8-4D0C-9F97-031C313F1070}">
      <text>
        <r>
          <rPr>
            <b/>
            <sz val="9"/>
            <color rgb="FF000000"/>
            <rFont val="Tahoma"/>
            <family val="2"/>
          </rPr>
          <t>Matthew Mullen:</t>
        </r>
        <r>
          <rPr>
            <sz val="9"/>
            <color rgb="FF000000"/>
            <rFont val="Tahoma"/>
            <family val="2"/>
          </rPr>
          <t xml:space="preserve">
</t>
        </r>
        <r>
          <rPr>
            <sz val="9"/>
            <color rgb="FF000000"/>
            <rFont val="Tahoma"/>
            <family val="2"/>
          </rPr>
          <t>Uses IMC assumption</t>
        </r>
      </text>
    </comment>
    <comment ref="D131" authorId="14" shapeId="0" xr:uid="{F67ABE67-19FF-4FCF-9ECF-22A77468369C}">
      <text>
        <r>
          <rPr>
            <b/>
            <sz val="9"/>
            <color rgb="FF000000"/>
            <rFont val="Tahoma"/>
            <family val="2"/>
          </rPr>
          <t>Matthew Mullen:</t>
        </r>
        <r>
          <rPr>
            <sz val="9"/>
            <color rgb="FF000000"/>
            <rFont val="Tahoma"/>
            <family val="2"/>
          </rPr>
          <t xml:space="preserve">
</t>
        </r>
        <r>
          <rPr>
            <sz val="9"/>
            <color rgb="FF000000"/>
            <rFont val="Tahoma"/>
            <family val="2"/>
          </rPr>
          <t xml:space="preserve">Actual flight cost
</t>
        </r>
        <r>
          <rPr>
            <sz val="9"/>
            <color rgb="FF000000"/>
            <rFont val="Tahoma"/>
            <family val="2"/>
          </rPr>
          <t xml:space="preserve">
</t>
        </r>
        <r>
          <rPr>
            <sz val="9"/>
            <color rgb="FF000000"/>
            <rFont val="Tahoma"/>
            <family val="2"/>
          </rPr>
          <t>Already paid for when going to regular fairs/events</t>
        </r>
      </text>
    </comment>
    <comment ref="I131" authorId="23" shapeId="0" xr:uid="{DDC05DA1-37E6-4647-8E0B-944201EFF092}">
      <text>
        <t>[Threaded comment]
Your version of Excel allows you to read this threaded comment; however, any edits to it will get removed if the file is opened in a newer version of Excel. Learn more: https://go.microsoft.com/fwlink/?linkid=870924
Comment:
    2 hours x $90 per hour to rent the space</t>
      </text>
    </comment>
    <comment ref="M131" authorId="14" shapeId="0" xr:uid="{FDC14C3F-CA69-4DEB-8997-69972695CFF1}">
      <text>
        <r>
          <rPr>
            <b/>
            <sz val="9"/>
            <color rgb="FF000000"/>
            <rFont val="Tahoma"/>
            <family val="2"/>
          </rPr>
          <t>Matthew Mullen:</t>
        </r>
        <r>
          <rPr>
            <sz val="9"/>
            <color rgb="FF000000"/>
            <rFont val="Tahoma"/>
            <family val="2"/>
          </rPr>
          <t xml:space="preserve">
</t>
        </r>
        <r>
          <rPr>
            <sz val="9"/>
            <color rgb="FF000000"/>
            <rFont val="Tahoma"/>
            <family val="2"/>
          </rPr>
          <t xml:space="preserve">Using IMC tutorial assumption
</t>
        </r>
      </text>
    </comment>
    <comment ref="N131" authorId="14" shapeId="0" xr:uid="{D54530BA-A520-46E2-A2F1-53D5940C5AA4}">
      <text>
        <r>
          <rPr>
            <b/>
            <sz val="9"/>
            <color rgb="FF000000"/>
            <rFont val="Tahoma"/>
            <family val="2"/>
          </rPr>
          <t>Matthew Mullen:</t>
        </r>
        <r>
          <rPr>
            <sz val="9"/>
            <color rgb="FF000000"/>
            <rFont val="Tahoma"/>
            <family val="2"/>
          </rPr>
          <t xml:space="preserve">
</t>
        </r>
        <r>
          <rPr>
            <sz val="9"/>
            <color rgb="FF000000"/>
            <rFont val="Tahoma"/>
            <family val="2"/>
          </rPr>
          <t>Uses IMC assumption</t>
        </r>
      </text>
    </comment>
    <comment ref="D132" authorId="14" shapeId="0" xr:uid="{86FD1EB7-72B7-4A7F-9616-D644944C1479}">
      <text>
        <r>
          <rPr>
            <b/>
            <sz val="9"/>
            <color rgb="FF000000"/>
            <rFont val="Tahoma"/>
            <family val="2"/>
          </rPr>
          <t>Matthew Mullen:</t>
        </r>
        <r>
          <rPr>
            <sz val="9"/>
            <color rgb="FF000000"/>
            <rFont val="Tahoma"/>
            <family val="2"/>
          </rPr>
          <t xml:space="preserve">
</t>
        </r>
        <r>
          <rPr>
            <sz val="9"/>
            <color rgb="FF000000"/>
            <rFont val="Tahoma"/>
            <family val="2"/>
          </rPr>
          <t>Actual cost of flight</t>
        </r>
      </text>
    </comment>
    <comment ref="I132" authorId="14" shapeId="0" xr:uid="{F1EFAC0B-AB9C-4EAA-ABFE-AB12311C8F9C}">
      <text>
        <r>
          <rPr>
            <b/>
            <sz val="9"/>
            <color rgb="FF000000"/>
            <rFont val="Tahoma"/>
            <family val="2"/>
          </rPr>
          <t>Matthew Mullen:</t>
        </r>
        <r>
          <rPr>
            <sz val="9"/>
            <color rgb="FF000000"/>
            <rFont val="Tahoma"/>
            <family val="2"/>
          </rPr>
          <t xml:space="preserve">
</t>
        </r>
        <r>
          <rPr>
            <sz val="9"/>
            <color rgb="FF000000"/>
            <rFont val="Tahoma"/>
            <family val="2"/>
          </rPr>
          <t>Assumption that it costs similar / same amount as NY and Dallas Toy Fairs</t>
        </r>
      </text>
    </comment>
    <comment ref="N132" authorId="14" shapeId="0" xr:uid="{899F75F7-146F-4DE9-BBC2-C87AAA50C7EF}">
      <text>
        <r>
          <rPr>
            <b/>
            <sz val="9"/>
            <color rgb="FF000000"/>
            <rFont val="Tahoma"/>
            <family val="2"/>
          </rPr>
          <t>Matthew Mullen:</t>
        </r>
        <r>
          <rPr>
            <sz val="9"/>
            <color rgb="FF000000"/>
            <rFont val="Tahoma"/>
            <family val="2"/>
          </rPr>
          <t xml:space="preserve">
</t>
        </r>
        <r>
          <rPr>
            <sz val="9"/>
            <color rgb="FF000000"/>
            <rFont val="Tahoma"/>
            <family val="2"/>
          </rPr>
          <t>Uses IMC assumption</t>
        </r>
      </text>
    </comment>
    <comment ref="D133" authorId="14" shapeId="0" xr:uid="{940CFFF7-9999-451F-82CE-D9519847064C}">
      <text>
        <r>
          <rPr>
            <b/>
            <sz val="9"/>
            <color rgb="FF000000"/>
            <rFont val="Tahoma"/>
            <family val="2"/>
          </rPr>
          <t>Matthew Mullen:</t>
        </r>
        <r>
          <rPr>
            <sz val="9"/>
            <color rgb="FF000000"/>
            <rFont val="Tahoma"/>
            <family val="2"/>
          </rPr>
          <t xml:space="preserve">
</t>
        </r>
        <r>
          <rPr>
            <sz val="9"/>
            <color rgb="FF000000"/>
            <rFont val="Tahoma"/>
            <family val="2"/>
          </rPr>
          <t>Average round trip price (spanning across the year)</t>
        </r>
      </text>
    </comment>
    <comment ref="I133" authorId="14" shapeId="0" xr:uid="{84605E7E-4624-4B56-B0A4-373DE1B1C35A}">
      <text>
        <r>
          <rPr>
            <b/>
            <sz val="9"/>
            <color rgb="FF000000"/>
            <rFont val="Tahoma"/>
            <family val="2"/>
          </rPr>
          <t>Matthew Mullen:</t>
        </r>
        <r>
          <rPr>
            <sz val="9"/>
            <color rgb="FF000000"/>
            <rFont val="Tahoma"/>
            <family val="2"/>
          </rPr>
          <t xml:space="preserve">
</t>
        </r>
        <r>
          <rPr>
            <sz val="9"/>
            <color rgb="FF000000"/>
            <rFont val="Tahoma"/>
            <family val="2"/>
          </rPr>
          <t>Assumption that it costs similar / same amount as NY and Dallas Toy Fairs</t>
        </r>
      </text>
    </comment>
    <comment ref="N133" authorId="14" shapeId="0" xr:uid="{EAB2FA8F-666F-4A9D-A0ED-A3F0BDB8FEDB}">
      <text>
        <r>
          <rPr>
            <b/>
            <sz val="9"/>
            <color rgb="FF000000"/>
            <rFont val="Tahoma"/>
            <family val="2"/>
          </rPr>
          <t>Matthew Mullen:</t>
        </r>
        <r>
          <rPr>
            <sz val="9"/>
            <color rgb="FF000000"/>
            <rFont val="Tahoma"/>
            <family val="2"/>
          </rPr>
          <t xml:space="preserve">
</t>
        </r>
        <r>
          <rPr>
            <sz val="9"/>
            <color rgb="FF000000"/>
            <rFont val="Tahoma"/>
            <family val="2"/>
          </rPr>
          <t>Uses IMC assumption</t>
        </r>
      </text>
    </comment>
    <comment ref="D140" authorId="24" shapeId="0" xr:uid="{8FA63CEA-73E8-4B75-87BB-B8A8A1486E87}">
      <text>
        <r>
          <rPr>
            <sz val="11"/>
            <color theme="1"/>
            <rFont val="Calibri"/>
            <family val="2"/>
            <scheme val="minor"/>
          </rPr>
          <t xml:space="preserve">Yang, Xincheng:
Flight cost:
https://www.aa.com/en-us/flights-from-dallas-to-new-york
</t>
        </r>
      </text>
    </comment>
    <comment ref="D141" authorId="24" shapeId="0" xr:uid="{7EC7DB3B-8198-4465-8351-024904759560}">
      <text>
        <r>
          <rPr>
            <sz val="11"/>
            <color theme="1"/>
            <rFont val="Calibri"/>
            <family val="2"/>
            <scheme val="minor"/>
          </rPr>
          <t>Yang, Xincheng:
https://www.aa.com/booking/flights/choose-flights/flight1;jsessionid=622D4317D5C6A638FDE2D5D70007B748?bookingPathStateId=1638808020952-237&amp;locale=en_US</t>
        </r>
      </text>
    </comment>
    <comment ref="D142" authorId="24" shapeId="0" xr:uid="{F56C7BE0-5501-48B7-BC5A-A70BD7EC05DF}">
      <text>
        <r>
          <rPr>
            <sz val="11"/>
            <color theme="1"/>
            <rFont val="Calibri"/>
            <family val="2"/>
            <scheme val="minor"/>
          </rPr>
          <t>Yang, Xincheng:
https://www.aa.com/booking/flights/choose-flights/flight1?bookingPathStateId=1638808109478-973&amp;locale=en_US</t>
        </r>
      </text>
    </comment>
    <comment ref="D163" authorId="25" shapeId="0" xr:uid="{A37C16FF-CCEC-7447-8D5B-506F5119EBF0}">
      <text>
        <t>[Threaded comment]
Your version of Excel allows you to read this threaded comment; however, any edits to it will get removed if the file is opened in a newer version of Excel. Learn more: https://go.microsoft.com/fwlink/?linkid=870924
Comment:
    the awareness for WOM is on the IMC plan tab will be different from what’s seen here since it’s a circular reference. will be using the units sold on E131: y2=0.44%</t>
      </text>
    </comment>
    <comment ref="D199" authorId="26" shapeId="0" xr:uid="{ABCCEE65-453F-4C34-8B78-F8B197A03D98}">
      <text>
        <t>[Threaded comment]
Your version of Excel allows you to read this threaded comment; however, any edits to it will get removed if the file is opened in a newer version of Excel. Learn more: https://go.microsoft.com/fwlink/?linkid=870924
Comment:
    Source:https://exhibitsusa.com/average-costs-to-display-attend-trade-shows#:~:text=Budget%20for%20the%20Actual%20Trade,cost%20between%20%2440%2C000%20and%20%2460%2C000.</t>
      </text>
    </comment>
    <comment ref="D204" authorId="27" shapeId="0" xr:uid="{198FF6EA-D696-4730-8020-D048BBFFE24A}">
      <text>
        <t>[Threaded comment]
Your version of Excel allows you to read this threaded comment; however, any edits to it will get removed if the file is opened in a newer version of Excel. Learn more: https://go.microsoft.com/fwlink/?linkid=870924
Comment:
    Source: “The Toy Book • the Leading Trade Publication for the Toy ...” Accessed December 6, 2021. https://toybook.com/. </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<sst xmlns="http://schemas.openxmlformats.org/spreadsheetml/2006/main" count="3876" uniqueCount="1457">
  <si>
    <t>Index</t>
  </si>
  <si>
    <t>Finance</t>
  </si>
  <si>
    <t>FE Assumptions</t>
  </si>
  <si>
    <t xml:space="preserve">Income Statement </t>
  </si>
  <si>
    <t>Cash Flow Statement</t>
  </si>
  <si>
    <t>Balance Sheet</t>
  </si>
  <si>
    <t>Discount Rate Calculation / Comparable Company Analysis</t>
  </si>
  <si>
    <t>Terminal Value Calculation</t>
  </si>
  <si>
    <t>Income Statement Analysis / Graphs</t>
  </si>
  <si>
    <t>Operations</t>
  </si>
  <si>
    <t>OM Assumptions</t>
  </si>
  <si>
    <t>Selling, General, and Administrative Costs</t>
  </si>
  <si>
    <t>Time 0 Start-Up Inventory</t>
  </si>
  <si>
    <t>Information Systems Expenses</t>
  </si>
  <si>
    <t>CapEx</t>
  </si>
  <si>
    <t>Manufacturing Overhead</t>
  </si>
  <si>
    <t>Direct Labor</t>
  </si>
  <si>
    <t>Target Costing</t>
  </si>
  <si>
    <t>Micro Data</t>
  </si>
  <si>
    <t>Raw Materials Y1 - Y5</t>
  </si>
  <si>
    <t>Cost of Raw Materials</t>
  </si>
  <si>
    <t>Finished Goods</t>
  </si>
  <si>
    <t xml:space="preserve">Aggregate Planning </t>
  </si>
  <si>
    <t>Capacity</t>
  </si>
  <si>
    <t>Logistics of Transportation</t>
  </si>
  <si>
    <t>Make Versus Buy Analysis</t>
  </si>
  <si>
    <t>Marketing</t>
  </si>
  <si>
    <t>MK Assumptions</t>
  </si>
  <si>
    <t>Bases Model (Base Case)</t>
  </si>
  <si>
    <t>Average Manufacturing Selling Price</t>
  </si>
  <si>
    <t>Purchase Intent and Price</t>
  </si>
  <si>
    <t xml:space="preserve">IMC Schedule </t>
  </si>
  <si>
    <t>ACV</t>
  </si>
  <si>
    <t>IMC Calculations</t>
  </si>
  <si>
    <t>Bases for Segment Size</t>
  </si>
  <si>
    <t>Miscellaneous</t>
  </si>
  <si>
    <t>Bases Model Y1 - Y5</t>
  </si>
  <si>
    <t>Back to Index</t>
  </si>
  <si>
    <t xml:space="preserve"> </t>
  </si>
  <si>
    <t>(In US Dollars)</t>
  </si>
  <si>
    <t>Start-up</t>
  </si>
  <si>
    <t>Year 1</t>
  </si>
  <si>
    <t>Year 2</t>
  </si>
  <si>
    <t>Year 3</t>
  </si>
  <si>
    <t>Year 4</t>
  </si>
  <si>
    <t>Year 5</t>
  </si>
  <si>
    <t xml:space="preserve"> </t>
    <phoneticPr fontId="0" type="noConversion"/>
  </si>
  <si>
    <t>TYPE IN YOUR SCENARIO HERE:</t>
  </si>
  <si>
    <t>Base Case</t>
  </si>
  <si>
    <t xml:space="preserve">Initial Startup Costs (Startup Column Only) </t>
  </si>
  <si>
    <t xml:space="preserve">  INITIAL INVESTMENT IN FIXED ASSETS</t>
  </si>
  <si>
    <t xml:space="preserve">       Long Term Balance Sheet Items (Can be depreciated - includes IS equip &amp; Factory/office buildout costs)</t>
  </si>
  <si>
    <t xml:space="preserve">  INITIAL WORKING CAPITAL</t>
  </si>
  <si>
    <t xml:space="preserve">     Cash (Additional Cash required in addition to Start Up costs)</t>
  </si>
  <si>
    <t>Raw Materials &amp; Work in Process, Start-Up Period Only  (2 months)</t>
  </si>
  <si>
    <t>Finished Goods Start-up Period Only (Put Years 1-5 in table Below)</t>
  </si>
  <si>
    <t xml:space="preserve">  INITIAL OPERATING EXPENSES (TAX DEDUCTIBLE)</t>
  </si>
  <si>
    <t xml:space="preserve">      Product Development (Prototype, engineer, etc.)</t>
  </si>
  <si>
    <t>Build Costs</t>
  </si>
  <si>
    <t xml:space="preserve">2 Month rent </t>
  </si>
  <si>
    <t>Carpet Installation</t>
  </si>
  <si>
    <t>Quality Testing</t>
  </si>
  <si>
    <t xml:space="preserve">      Pre-Marketing Expenses (Marketing expenses before Year 1) See Sales Projection Tutorial</t>
  </si>
  <si>
    <t xml:space="preserve">      All Other (Miscellaneous non depreciated expenses, additional salaries, Rent etc.)</t>
  </si>
  <si>
    <t>Total Start Up Operating Expenses</t>
  </si>
  <si>
    <t>Operating Information (Years 1 - 5)</t>
  </si>
  <si>
    <t xml:space="preserve">Note </t>
  </si>
  <si>
    <t>CHECK</t>
  </si>
  <si>
    <t xml:space="preserve">  UNITS SOLD</t>
  </si>
  <si>
    <t>The Toy Maven - Preston Hollow</t>
  </si>
  <si>
    <t>Kip's Toyland</t>
  </si>
  <si>
    <t>Toy's That Teach</t>
  </si>
  <si>
    <t xml:space="preserve">   Total Units into independent retailers</t>
  </si>
  <si>
    <t xml:space="preserve">   Units online </t>
  </si>
  <si>
    <t>Learning Express</t>
  </si>
  <si>
    <t>Hobby Town</t>
  </si>
  <si>
    <t>FAO Schwarz</t>
  </si>
  <si>
    <t xml:space="preserve">   Total Units into chain retailer</t>
  </si>
  <si>
    <t>Walmart</t>
  </si>
  <si>
    <t>Target</t>
  </si>
  <si>
    <t>Kohl's</t>
  </si>
  <si>
    <t xml:space="preserve">   Total Units into mass merchants</t>
  </si>
  <si>
    <t>Total Units Sold</t>
  </si>
  <si>
    <t>Units Produced</t>
  </si>
  <si>
    <t>Mean Annual Demand</t>
  </si>
  <si>
    <t>Scrap Rate</t>
  </si>
  <si>
    <t>Units Scraped</t>
  </si>
  <si>
    <t xml:space="preserve">  MANUFACTURER SELLING PRICE</t>
  </si>
  <si>
    <t xml:space="preserve">   To independent retailers</t>
  </si>
  <si>
    <t xml:space="preserve">   For online sales</t>
  </si>
  <si>
    <t xml:space="preserve">   To chain retailer</t>
  </si>
  <si>
    <t xml:space="preserve">   To mass merchants</t>
  </si>
  <si>
    <t xml:space="preserve"> Average WEIGHTED manufacturer's selling price to channel</t>
  </si>
  <si>
    <t xml:space="preserve">  COST OF GOODS SOLD</t>
  </si>
  <si>
    <r>
      <t xml:space="preserve">        Variable Cost </t>
    </r>
    <r>
      <rPr>
        <b/>
        <sz val="11"/>
        <rFont val="Calibri"/>
        <family val="2"/>
        <scheme val="minor"/>
      </rPr>
      <t>Per Unit</t>
    </r>
    <r>
      <rPr>
        <sz val="11"/>
        <rFont val="Calibri"/>
        <family val="2"/>
        <scheme val="minor"/>
      </rPr>
      <t xml:space="preserve"> ($/Unit) (Total Direct Cost = Direct Labor + Direct Materials )</t>
    </r>
  </si>
  <si>
    <r>
      <t xml:space="preserve">       </t>
    </r>
    <r>
      <rPr>
        <b/>
        <sz val="11"/>
        <rFont val="Calibri"/>
        <family val="2"/>
        <scheme val="minor"/>
      </rPr>
      <t xml:space="preserve"> Total </t>
    </r>
    <r>
      <rPr>
        <sz val="11"/>
        <rFont val="Calibri"/>
        <family val="2"/>
        <scheme val="minor"/>
      </rPr>
      <t>Outbound Freight ($) (The gross amount, Not Per Unit)</t>
    </r>
  </si>
  <si>
    <t>Total Variable Costs Including Freight ($)</t>
  </si>
  <si>
    <t xml:space="preserve">        Fixed Production Costs ($) (Total MOH per year)</t>
  </si>
  <si>
    <t>Total Cost of Goods Sold per Unit</t>
  </si>
  <si>
    <t xml:space="preserve">  SELLING &amp; GENERAL ADMINISTRATIVE EXPENSES</t>
  </si>
  <si>
    <t>Worker Set-up cost T0</t>
  </si>
  <si>
    <t xml:space="preserve">      Production costs not included in Cost of Good sold (if any, you may not have any)</t>
  </si>
  <si>
    <t xml:space="preserve">       Fixed Administrative Costs </t>
  </si>
  <si>
    <t xml:space="preserve">       Marketing Expenses (Push and Pull) Excluding Manufacturers Reps ($)</t>
  </si>
  <si>
    <t xml:space="preserve">     Manufacturer's Sales Reps Commission Expense (10% - excludes Online Units)</t>
  </si>
  <si>
    <t xml:space="preserve">  IS EXPENSES</t>
  </si>
  <si>
    <t>Non-Depreciable Expenses</t>
  </si>
  <si>
    <t>Depreciable Expenses</t>
  </si>
  <si>
    <t>Desktops and Laptops</t>
  </si>
  <si>
    <t xml:space="preserve">Total SG&amp;A Expenses </t>
  </si>
  <si>
    <t>Balance Sheet Information (Year 1-5)</t>
  </si>
  <si>
    <t>Assumptions FA2021</t>
  </si>
  <si>
    <t>Days</t>
  </si>
  <si>
    <t>Weighted Average Days</t>
  </si>
  <si>
    <t>Accounts Receivable (Days AR Outstanding) - Online Sales Channel</t>
  </si>
  <si>
    <t>Accounts Receivable (Days AR Outstanding) - All other Sales Channels</t>
  </si>
  <si>
    <t>Total Weighted Average Days</t>
  </si>
  <si>
    <t>% Volume</t>
  </si>
  <si>
    <t>Accounts Payable - US Sourced  Vendors</t>
  </si>
  <si>
    <t>Accounts Payable - Non-US Sourced  Vendors</t>
  </si>
  <si>
    <t>Total % Volume</t>
  </si>
  <si>
    <t>Accounts Payable (Days Payable Outstanding) - US Sourced  Vendors</t>
  </si>
  <si>
    <t>Accounts Payable (Days Payable Outstanding) - Non-US Sourced  Vendors</t>
  </si>
  <si>
    <t>Inventory Days</t>
  </si>
  <si>
    <t>Operating Cycle</t>
  </si>
  <si>
    <t>Cash Conversion Cycle</t>
  </si>
  <si>
    <t>Raw Materials</t>
  </si>
  <si>
    <t>Finished Goods + WIP</t>
  </si>
  <si>
    <t xml:space="preserve">  Total Inventories</t>
  </si>
  <si>
    <t>Additional Investment in Fixed Assets, more capacity or replacement</t>
  </si>
  <si>
    <t xml:space="preserve">  OTHER ASSUMPTIONS</t>
  </si>
  <si>
    <t>Inflation</t>
  </si>
  <si>
    <t>Quality Inspection (Every 2 years)</t>
  </si>
  <si>
    <t xml:space="preserve">       Discount Rate </t>
  </si>
  <si>
    <t xml:space="preserve">       Commission Paid to Manufacturers Reps</t>
    <phoneticPr fontId="0" type="noConversion"/>
  </si>
  <si>
    <t xml:space="preserve">       Tax Rate</t>
  </si>
  <si>
    <t xml:space="preserve">       Cash as a Percentage Sales </t>
  </si>
  <si>
    <t>Straight line year</t>
  </si>
  <si>
    <t>Product life-cycle annual rate</t>
  </si>
  <si>
    <t>Initial Capital Raised</t>
  </si>
  <si>
    <t xml:space="preserve">Family and Friends </t>
  </si>
  <si>
    <t>Income Statement</t>
  </si>
  <si>
    <t>TOTAL REVENUES</t>
    <phoneticPr fontId="0" type="noConversion"/>
  </si>
  <si>
    <t xml:space="preserve">     Variable Costs</t>
    <phoneticPr fontId="0" type="noConversion"/>
  </si>
  <si>
    <t>Cost of Scrap rate</t>
  </si>
  <si>
    <t xml:space="preserve">     Fixed Production Costs (allocated Manufacturing overhead)</t>
  </si>
  <si>
    <t>TOTAL COST OF GOODS SOLD</t>
    <phoneticPr fontId="0" type="noConversion"/>
  </si>
  <si>
    <t>GROSS PROFIT</t>
    <phoneticPr fontId="5" type="noConversion"/>
  </si>
  <si>
    <t>One-time Start Up Expenses</t>
  </si>
  <si>
    <t xml:space="preserve">Administrative Overhead (salaries) </t>
  </si>
  <si>
    <t>Information system expenses not already part of COGS</t>
  </si>
  <si>
    <t>Service Supply (Cleaning + Janitorial)</t>
  </si>
  <si>
    <t>Marketing Expenses Excluding Mfg Reps Commission</t>
  </si>
  <si>
    <t>Manufacturer's Sales Reps Commission Expense (10%)</t>
  </si>
  <si>
    <t xml:space="preserve"> Depreciation on original PP&amp;E</t>
  </si>
  <si>
    <t xml:space="preserve"> Depreciation on new PP&amp;E (purchased after start-up)</t>
  </si>
  <si>
    <t>Depreication (Laptops and Desktop)</t>
  </si>
  <si>
    <t>Plastic Waste Disposal</t>
  </si>
  <si>
    <t>Pallets</t>
  </si>
  <si>
    <t xml:space="preserve">Employee Training </t>
  </si>
  <si>
    <t>Total</t>
  </si>
  <si>
    <t>Earnings Before Tax</t>
    <phoneticPr fontId="0" type="noConversion"/>
  </si>
  <si>
    <t xml:space="preserve">      Taxes</t>
    <phoneticPr fontId="0" type="noConversion"/>
  </si>
  <si>
    <t>NET INCOME</t>
  </si>
  <si>
    <t>Statement of Retained Earnings</t>
  </si>
  <si>
    <t>Retained Earnings (Start of Period)</t>
  </si>
  <si>
    <t xml:space="preserve">Earnings </t>
  </si>
  <si>
    <t>`</t>
  </si>
  <si>
    <t>Dividends</t>
  </si>
  <si>
    <t>Retained Earnings (End of Period)</t>
  </si>
  <si>
    <t xml:space="preserve">Net Operating Loss schedule </t>
  </si>
  <si>
    <t>EBIT</t>
  </si>
  <si>
    <t>Net operating loss (Start of Period)</t>
  </si>
  <si>
    <t>Net operating losses made:</t>
  </si>
  <si>
    <t>Net operating losses used:</t>
  </si>
  <si>
    <t>Net operating loss (End of the Period)</t>
  </si>
  <si>
    <t xml:space="preserve">Adjusted Taxable Income </t>
  </si>
  <si>
    <t>Adjusted Taxable Income</t>
  </si>
  <si>
    <t>Cash Taxes Payable</t>
  </si>
  <si>
    <t>Deferred Income Taxes</t>
  </si>
  <si>
    <t>Income Statement Financial Ratios</t>
  </si>
  <si>
    <t>COGS % Sales</t>
  </si>
  <si>
    <t>Gross Margin % Sales</t>
  </si>
  <si>
    <t>Operating Margin % Sales</t>
  </si>
  <si>
    <t>Net Income % Sales</t>
  </si>
  <si>
    <t>SG&amp;A % Sales</t>
  </si>
  <si>
    <t>Marketing Expenses % Sales</t>
  </si>
  <si>
    <t>Statement of Cash Flow</t>
  </si>
  <si>
    <t>Year</t>
  </si>
  <si>
    <t>Initial Investment in Fixed Assets</t>
  </si>
  <si>
    <t>NOI CHECK</t>
  </si>
  <si>
    <t>Net Income</t>
  </si>
  <si>
    <t xml:space="preserve"> + Depreciation</t>
  </si>
  <si>
    <t>+/-Deferred Income Taxes</t>
  </si>
  <si>
    <t>+/- Cash Change in Net Working Capital</t>
  </si>
  <si>
    <t xml:space="preserve"> - Change in Fixed Assets</t>
  </si>
  <si>
    <t xml:space="preserve">Net Cash Flow </t>
  </si>
  <si>
    <t>Terminal Value of Business</t>
  </si>
  <si>
    <t>Total Cash Flow</t>
  </si>
  <si>
    <t>Net Present Value: Including TV</t>
  </si>
  <si>
    <t>Internal Rate of Return: Including TV</t>
  </si>
  <si>
    <t xml:space="preserve">  </t>
  </si>
  <si>
    <t>Current Assets</t>
  </si>
  <si>
    <t>Cash reserves</t>
  </si>
  <si>
    <t>Accounts Receivable</t>
  </si>
  <si>
    <t xml:space="preserve">Raw Materials </t>
  </si>
  <si>
    <t>Finished Goods Inventory + WIP</t>
  </si>
  <si>
    <t>Long-Term Assets</t>
  </si>
  <si>
    <t>Deferred Tax Assets</t>
  </si>
  <si>
    <t>Fixed Assets</t>
  </si>
  <si>
    <t>Gross Fixed Assets</t>
  </si>
  <si>
    <t>Accumulated Depreciation</t>
  </si>
  <si>
    <t>Net Fixed Assets</t>
  </si>
  <si>
    <t>TOTAL ASSETS</t>
  </si>
  <si>
    <t>Current Liabilities</t>
  </si>
  <si>
    <t>Accounts Payable</t>
  </si>
  <si>
    <t xml:space="preserve">     Current Liabilities</t>
  </si>
  <si>
    <t>Equity</t>
  </si>
  <si>
    <t>Paid in Capital (Cumulative)</t>
  </si>
  <si>
    <t>Retained Earnings (cumulative)</t>
  </si>
  <si>
    <t xml:space="preserve">      Total Equity</t>
  </si>
  <si>
    <t>TOTAL LIABILTIES AND EQUITY</t>
  </si>
  <si>
    <t>Check Total Assets - Total Liabilities &amp; Equity</t>
  </si>
  <si>
    <t>Net Working Capital Balance (Current Assets - Current Liabilities)</t>
  </si>
  <si>
    <t xml:space="preserve">Total Capital Raised </t>
  </si>
  <si>
    <t>Comparable Company Analysis - Beta and Discount Rate Calculation</t>
  </si>
  <si>
    <t xml:space="preserve">Ticker </t>
  </si>
  <si>
    <t>Company Name</t>
  </si>
  <si>
    <t>Beta</t>
  </si>
  <si>
    <t>Debt ($ in millions)</t>
  </si>
  <si>
    <t>Equity Value</t>
  </si>
  <si>
    <t>Debt/Equity</t>
  </si>
  <si>
    <t>Tax Rate</t>
  </si>
  <si>
    <t>Unlevered Beta</t>
  </si>
  <si>
    <t>MAT</t>
  </si>
  <si>
    <t>Mattel, Inc.</t>
  </si>
  <si>
    <t>FNKO</t>
  </si>
  <si>
    <t>Funko, Inc</t>
  </si>
  <si>
    <t>WACC Calculation</t>
  </si>
  <si>
    <t>Cost of Equity</t>
  </si>
  <si>
    <t>Risk-Free Rate</t>
  </si>
  <si>
    <t>Equity Risk Premium</t>
  </si>
  <si>
    <t>Small Company Premium</t>
  </si>
  <si>
    <t>Discount Rate</t>
  </si>
  <si>
    <t>Comp Ratios</t>
  </si>
  <si>
    <t>Mattel, INC.</t>
  </si>
  <si>
    <t>Funko, INC.</t>
  </si>
  <si>
    <t>Market Capitalization (in thousands)</t>
  </si>
  <si>
    <t>Revenue (in thousands)</t>
  </si>
  <si>
    <t>COGS (in thousands)</t>
  </si>
  <si>
    <t>Gross Profit Margin</t>
  </si>
  <si>
    <t>SG&amp;A % of Sales</t>
  </si>
  <si>
    <t>Operating Profit Margin</t>
  </si>
  <si>
    <t>Net Profit Margin</t>
  </si>
  <si>
    <t>Return on Assets</t>
  </si>
  <si>
    <t>Return on Equity</t>
  </si>
  <si>
    <t>A/P Days</t>
  </si>
  <si>
    <t>A/R Days</t>
  </si>
  <si>
    <t>Comp Ratios (with Industry Comparison)</t>
  </si>
  <si>
    <t>Comp Ratios Assumptions</t>
  </si>
  <si>
    <t>My First-Aid Friend</t>
  </si>
  <si>
    <t>Industry</t>
  </si>
  <si>
    <t>Mattel</t>
  </si>
  <si>
    <t>Funko</t>
  </si>
  <si>
    <t>in thousands</t>
  </si>
  <si>
    <t>EBIT/Revenue</t>
  </si>
  <si>
    <t>Revenue</t>
  </si>
  <si>
    <t>EBITDA/Revenue</t>
  </si>
  <si>
    <t>COGS</t>
  </si>
  <si>
    <t>EBITDA</t>
  </si>
  <si>
    <t>Cash % of Current Assets</t>
  </si>
  <si>
    <t>Cash</t>
  </si>
  <si>
    <t>A/R % of Current Assets</t>
  </si>
  <si>
    <t>A/R</t>
  </si>
  <si>
    <t>Inventory % of Current Assets</t>
  </si>
  <si>
    <t>Inventory</t>
  </si>
  <si>
    <t>PP&amp;E % of Total Assets</t>
  </si>
  <si>
    <t>A/P % of Current Liabilities</t>
  </si>
  <si>
    <t>PP&amp;E, net</t>
  </si>
  <si>
    <t>Total Assets</t>
  </si>
  <si>
    <t xml:space="preserve">A/P </t>
  </si>
  <si>
    <t>Period from Y5</t>
  </si>
  <si>
    <t>Declining Rate</t>
  </si>
  <si>
    <t>Cash Flow</t>
  </si>
  <si>
    <t>Value at Year 5</t>
  </si>
  <si>
    <t>Intro</t>
  </si>
  <si>
    <t>Growth</t>
  </si>
  <si>
    <t>Maturity</t>
  </si>
  <si>
    <t>Decline</t>
  </si>
  <si>
    <t xml:space="preserve">Total Product Life Cycle </t>
  </si>
  <si>
    <t>FE Income Statement Graphs</t>
  </si>
  <si>
    <t>Revenue Growth</t>
  </si>
  <si>
    <t>Net Income Growth</t>
  </si>
  <si>
    <t>SG&amp;A</t>
  </si>
  <si>
    <t>Marketing Expenses</t>
  </si>
  <si>
    <t xml:space="preserve">Average Weighted Selling Price </t>
  </si>
  <si>
    <t>Adjusted Purchasing Intent</t>
  </si>
  <si>
    <t>Average Weighted Retailer Selling Price</t>
  </si>
  <si>
    <t>Accumulated Revenue</t>
  </si>
  <si>
    <t>Accumulated Total Cost</t>
  </si>
  <si>
    <t>Cumulative Cash Flow</t>
  </si>
  <si>
    <t>Capital Expenditure Assumptions</t>
  </si>
  <si>
    <t>Assumptions tied to CAPEX Tab</t>
  </si>
  <si>
    <t>Asset Straight Line Depreciation</t>
  </si>
  <si>
    <t>Years</t>
  </si>
  <si>
    <t>Laptop and Desktop Depreciation</t>
  </si>
  <si>
    <t>Process Design Assumptions</t>
  </si>
  <si>
    <t>Assumptions tied to Process Design Tab</t>
  </si>
  <si>
    <t xml:space="preserve">Based on OM assumptions given </t>
  </si>
  <si>
    <t>Supplier Scrap Rate</t>
  </si>
  <si>
    <t>Raw Materials Assumptions</t>
  </si>
  <si>
    <t>Assumptions tied to Raw Materials Y1-Y5  Tab</t>
  </si>
  <si>
    <t>Material(weekly)</t>
  </si>
  <si>
    <t>Lead Time</t>
  </si>
  <si>
    <t xml:space="preserve">Most Likely </t>
  </si>
  <si>
    <t>Best</t>
  </si>
  <si>
    <t>Worst</t>
  </si>
  <si>
    <t>Mean</t>
  </si>
  <si>
    <t>Standard Deviation</t>
  </si>
  <si>
    <t>Linen Material</t>
  </si>
  <si>
    <t>LED Light Bulbs</t>
  </si>
  <si>
    <t>Wires</t>
  </si>
  <si>
    <t>Book (purchased price)</t>
  </si>
  <si>
    <t>Plastic Pellets</t>
  </si>
  <si>
    <t>RFID Tag</t>
  </si>
  <si>
    <t>RFID Antenna</t>
  </si>
  <si>
    <t>Battery holder</t>
  </si>
  <si>
    <t>Micro Controller Board</t>
  </si>
  <si>
    <t xml:space="preserve">Paint </t>
  </si>
  <si>
    <t>Glue</t>
  </si>
  <si>
    <t>Plush</t>
  </si>
  <si>
    <t>Stitching yarn</t>
  </si>
  <si>
    <t>Hair Doll</t>
  </si>
  <si>
    <t>Packaging</t>
  </si>
  <si>
    <t>On/Off Switch</t>
  </si>
  <si>
    <t>Service Level and Z-Score</t>
  </si>
  <si>
    <t>Assumptions tied to Raw Materials Y1-Y5 Tab and  Finished Goods Tab</t>
  </si>
  <si>
    <t>Service Level</t>
  </si>
  <si>
    <t>Z score</t>
  </si>
  <si>
    <t>Annual holding Cost %</t>
  </si>
  <si>
    <t>Ordering Cost</t>
  </si>
  <si>
    <t>Shortage and Excess  Cost</t>
  </si>
  <si>
    <t xml:space="preserve">COGS </t>
  </si>
  <si>
    <t>Manufacturer's Price</t>
  </si>
  <si>
    <t>Shortage Cost</t>
  </si>
  <si>
    <t>Excess Cost</t>
  </si>
  <si>
    <t>OM Pert Demand Calculations</t>
  </si>
  <si>
    <t>Calculations tied to Raw Materials Y1-5 Tab</t>
  </si>
  <si>
    <t>Demand</t>
  </si>
  <si>
    <t>Base</t>
  </si>
  <si>
    <t>Mean Annual Demand was used to calculate Inventory</t>
  </si>
  <si>
    <t>Annual STD DEV</t>
  </si>
  <si>
    <t>Mean Weekly Demand</t>
  </si>
  <si>
    <t>Weekly STD DEV</t>
  </si>
  <si>
    <t>Demand Scenarios</t>
  </si>
  <si>
    <t>Worst Case</t>
  </si>
  <si>
    <t>Costs Of Good Sold Calculations</t>
  </si>
  <si>
    <t>Calculations tied to OM MOH tab as well as Finance Tabs</t>
  </si>
  <si>
    <t>DM</t>
  </si>
  <si>
    <t>DL</t>
  </si>
  <si>
    <t>MOH</t>
  </si>
  <si>
    <t>COGS (Per unit)</t>
  </si>
  <si>
    <t>Total COGS without Freight-out</t>
  </si>
  <si>
    <t>OM SG&amp;A Assumptions</t>
  </si>
  <si>
    <t>SG&amp;A Material assumptions</t>
  </si>
  <si>
    <t>Calculations tied to OM SG&amp;A Tab</t>
  </si>
  <si>
    <t>Boxes Per Pallet</t>
  </si>
  <si>
    <t>Total Pallets Bought</t>
  </si>
  <si>
    <t>Plastic per Pallet</t>
  </si>
  <si>
    <t>Total Plastic Wrap Bought</t>
  </si>
  <si>
    <t xml:space="preserve">Sensitivity </t>
  </si>
  <si>
    <t xml:space="preserve"> Calculations tied to OM SG&amp;A Tab</t>
  </si>
  <si>
    <t>Total Facility Size</t>
  </si>
  <si>
    <t>/SF</t>
  </si>
  <si>
    <t>Office</t>
  </si>
  <si>
    <t>Rent (NNN)</t>
  </si>
  <si>
    <t>/SF/YR</t>
  </si>
  <si>
    <t>Build out costs</t>
  </si>
  <si>
    <t>Carpet installation Cost of office space  /SF</t>
  </si>
  <si>
    <t>Service Supply:</t>
  </si>
  <si>
    <t xml:space="preserve">Cleaning Cost </t>
  </si>
  <si>
    <t>Number of times a year</t>
  </si>
  <si>
    <t>Janitor (Part Time/Hour)</t>
  </si>
  <si>
    <t xml:space="preserve">Number of times a year </t>
  </si>
  <si>
    <t>Employee Traning</t>
  </si>
  <si>
    <t>Assumptions tied to OM SG&amp;A Tab</t>
  </si>
  <si>
    <t>OM Overhead Assumptions</t>
  </si>
  <si>
    <t>Assumptions tied to OM MOH Tab</t>
  </si>
  <si>
    <t xml:space="preserve">Assumption </t>
  </si>
  <si>
    <t>Unit price</t>
  </si>
  <si>
    <t>Injection Molding Machine Maintenace Visits</t>
  </si>
  <si>
    <t>Hours</t>
  </si>
  <si>
    <t>Indirect Labor Injection Molding Machine</t>
  </si>
  <si>
    <t>https://maycointernational.com/blog/commercial-plastic-recycling-how-your-company-can-profit-by-recycling-scrap-plastic/</t>
  </si>
  <si>
    <t>Start-Up Inventory</t>
  </si>
  <si>
    <t>Starting Assumptions for Business at Time 0</t>
  </si>
  <si>
    <t>Costs</t>
  </si>
  <si>
    <t>$</t>
  </si>
  <si>
    <t>Notes</t>
  </si>
  <si>
    <t>Materials time 0</t>
  </si>
  <si>
    <t>Materials of time zero is based on the raw materials needed for 1 month of prduction based on Pert Demand</t>
  </si>
  <si>
    <t>SG&amp;A time 0</t>
  </si>
  <si>
    <t>Includes Administrative expenses for year zero Information Systems expenses</t>
  </si>
  <si>
    <t>MOH time 0</t>
  </si>
  <si>
    <t>New Product Development Costs</t>
  </si>
  <si>
    <t>Costs to hire engineer to program the chips</t>
  </si>
  <si>
    <t>Total Time 0 Costs</t>
  </si>
  <si>
    <t>Total Workers</t>
  </si>
  <si>
    <t>Depreciable Assets</t>
  </si>
  <si>
    <t>Assumptions</t>
  </si>
  <si>
    <t>ERP System</t>
  </si>
  <si>
    <t xml:space="preserve">Printer </t>
  </si>
  <si>
    <t>https://www.bestbuy.com/site/hp-officejet-pro-9025e-wireless-all-in-one-inkjet-printer-with-6-months-of-instant-ink-included-with-hp-white/6450665.p?skuId=6450665</t>
  </si>
  <si>
    <t xml:space="preserve">Photocopier </t>
  </si>
  <si>
    <t>https://www.bestbuy.com/site/combo/color-laser-printers/d5ec4eb5-4b49-4b95-b082-53c52303bcdb</t>
  </si>
  <si>
    <t>High-end networks devcie (Router, Motem)</t>
  </si>
  <si>
    <t>Cellphones</t>
  </si>
  <si>
    <t>Security Cameras</t>
  </si>
  <si>
    <t xml:space="preserve">https://www.amazon.com/Blink-Outdoor-Wireless-Security-Camera-5cam/dp/B086DKGCFP/ref=sr_1_3?keywords=security+cameras&amp;qid=1636633699&amp;sr=8-3 </t>
  </si>
  <si>
    <t xml:space="preserve">Laptops </t>
  </si>
  <si>
    <t>https://www.bestbuy.com/site/dell-inspiron-15-6-fhd-touch-screen-laptop-intel-core-i5-8gb-memory-256gb-ssd-black/6447114.p?skuId=6447114</t>
  </si>
  <si>
    <t>Desktop</t>
  </si>
  <si>
    <t>https://www.bestbuy.com/site/dell-inspiron-3880-desktop-intel-core-i5-12gb-memory-256b-ssd-black/6423485.p?skuId=6423485</t>
  </si>
  <si>
    <t>Total Desktop and Laptop</t>
  </si>
  <si>
    <t>ERP Per worker</t>
  </si>
  <si>
    <t xml:space="preserve">https://www.stellaroneconsulting.com/growth-plan-sap-business-one-cloud-erp-software-implementation-price-calculator?hsCtaTracking=fca3ff27-f0b3-4b75-a0c1-e5360ebf9a42%7C9777e39b-4866-4d31-9a64-cc1176c4ac33 </t>
  </si>
  <si>
    <t xml:space="preserve">ERP Maintenances </t>
  </si>
  <si>
    <t>VPN</t>
  </si>
  <si>
    <t>Firewall security software</t>
  </si>
  <si>
    <t xml:space="preserve">Internet </t>
  </si>
  <si>
    <t>Mobile</t>
  </si>
  <si>
    <t>Website Development</t>
  </si>
  <si>
    <t>https://www.wix.com/upgrade/website</t>
  </si>
  <si>
    <t>Total:</t>
  </si>
  <si>
    <t>Depreciation Schedule (5 year)</t>
  </si>
  <si>
    <t xml:space="preserve">Total Depreciation </t>
  </si>
  <si>
    <t>Selling, General and Administrative Expenses</t>
  </si>
  <si>
    <t>SG&amp;A Expenses</t>
  </si>
  <si>
    <t>Expenses</t>
  </si>
  <si>
    <t>total administrative expenses</t>
  </si>
  <si>
    <t>information systems non depreciable expenses</t>
  </si>
  <si>
    <t>Employee Training</t>
  </si>
  <si>
    <t>SG&amp;A Materials</t>
  </si>
  <si>
    <t>Total SG&amp;A Expenses</t>
  </si>
  <si>
    <t>Administrative Esxpensis</t>
  </si>
  <si>
    <t>Employee</t>
  </si>
  <si>
    <t>Year 0</t>
  </si>
  <si>
    <t xml:space="preserve">Year 1 </t>
  </si>
  <si>
    <t>CEO total</t>
  </si>
  <si>
    <t>CFO total</t>
  </si>
  <si>
    <t>CFO added year 4</t>
  </si>
  <si>
    <t>CEO+ CFO total</t>
  </si>
  <si>
    <t>Manager salary</t>
  </si>
  <si>
    <t># of managers</t>
  </si>
  <si>
    <t>Number of managers increase year 1 and year 3</t>
  </si>
  <si>
    <t>Manager total</t>
  </si>
  <si>
    <t>Accounting clerks</t>
  </si>
  <si>
    <t># of Accounting clerks</t>
  </si>
  <si>
    <t>Extra accounting Clerk hired year 3</t>
  </si>
  <si>
    <t>Total cost</t>
  </si>
  <si>
    <t>Customer Support Admin</t>
  </si>
  <si>
    <t>Systems Admin</t>
  </si>
  <si>
    <t>Total extra workers</t>
  </si>
  <si>
    <t>Total yearly salary</t>
  </si>
  <si>
    <t>Total AdminWorkers</t>
  </si>
  <si>
    <t>Used to calculate additional ERP costs</t>
  </si>
  <si>
    <t>Admin workers change</t>
  </si>
  <si>
    <t>Managers and executives(Sum)</t>
  </si>
  <si>
    <t>Change</t>
  </si>
  <si>
    <t>Used to calculate additional Laptop and ERP costs</t>
  </si>
  <si>
    <t>Wages increasing rate</t>
  </si>
  <si>
    <t>Fringe Benefit</t>
  </si>
  <si>
    <t>SG&amp;A Materials Year 1</t>
  </si>
  <si>
    <t>Price with Shipping</t>
  </si>
  <si>
    <t xml:space="preserve">Quantity </t>
  </si>
  <si>
    <t xml:space="preserve">Pallets </t>
  </si>
  <si>
    <t>https://www.uline.com/Product/Detail/H-1815/Pallets/Heat-Treated-Wood-Pallet-72-x-48</t>
  </si>
  <si>
    <t>Plastic Wrap</t>
  </si>
  <si>
    <t>https://www.webstaurantstore.com/20-x-1000-pallet-wrap-film-stretch-film-70-gauge-case/182DSW03.html</t>
  </si>
  <si>
    <t xml:space="preserve">Total </t>
  </si>
  <si>
    <t>SG&amp;A Materials Year 2</t>
  </si>
  <si>
    <t>SG&amp;A Materials Year 3</t>
  </si>
  <si>
    <t>SG&amp;A Materials Year 4</t>
  </si>
  <si>
    <t>SG&amp;A Materials Year 5</t>
  </si>
  <si>
    <t>Capital Expenditures / Depreciation Schedule</t>
  </si>
  <si>
    <t>Capex Expenditure Y0</t>
  </si>
  <si>
    <t>Quantity</t>
  </si>
  <si>
    <t>Price/unit</t>
  </si>
  <si>
    <t>Shipping  Cost</t>
  </si>
  <si>
    <t>Useful Lifetime</t>
  </si>
  <si>
    <t>Total Cost</t>
  </si>
  <si>
    <t>Links</t>
  </si>
  <si>
    <t>Transportation System</t>
  </si>
  <si>
    <t>https://www.webstaurantstore.com/wesco-industrial-products-272272/934272272.html</t>
  </si>
  <si>
    <t>x</t>
  </si>
  <si>
    <t>Plastic Welding Machine</t>
  </si>
  <si>
    <t>https://www.hotairtools.com/hot-air-tools/plastic-welding/triac-st-plastic-welding-kit-as-pwk.html</t>
  </si>
  <si>
    <t xml:space="preserve">Sewing Machine </t>
  </si>
  <si>
    <t xml:space="preserve">https://www.singer.com/Heavy-Duty-4452-Sewing-Machine </t>
  </si>
  <si>
    <t>Embroidery Machine</t>
  </si>
  <si>
    <t>https://www.walmart.com/ip/Brother-SE600-Combination-Computerized-Sewing-and-Embroidery-Machine/589039436?wmlspartner=wlpa&amp;selectedSellerId=0&amp;&amp;adid=22222222227105412282&amp;wl0=&amp;wl1=g&amp;wl2=c&amp;wl3=233147613778&amp;wl4=pla-438310898767&amp;wl5=1018127&amp;wl6=&amp;wl7=&amp;wl8=&amp;wl9=pla&amp;wl10=8175035&amp;wl11=online&amp;wl12=589039436&amp;veh=sem&amp;gclid=Cj0KCQjwrJOMBhCZARIsAGEd4VGGJ1tRCd-dQCJJPcpxb4nb_wkjPpnPa9MOEPRkKMvLfoQHxSf-NX0aAkNPEALw_wcB&amp;gclsrc=aw.ds</t>
  </si>
  <si>
    <t>Injection Molding Machine</t>
  </si>
  <si>
    <t>Electric Lifting Equipment</t>
  </si>
  <si>
    <t>https://www.alibaba.com/product-detail/Stacker-Semi-Electric-Stacker-1500kg-Capacity_62453964077.html?spm=a2700.galleryofferlist.normal_offer.d_title.1cd470bdg0MFEU&amp;s=p</t>
  </si>
  <si>
    <t>Lifting Equipment for Book Parcels</t>
  </si>
  <si>
    <t>https://www.globalindustrial.com/p/mobile-scissor-li-table-330-lb-capacity?infoParam.campaignId=T9F&amp;gclid=CjwKCAiA1aiMBhAUEiwACw25MS5g-ah0j85bk0o_PIN5sJ4PVaNszpllrKkLdhCJ_1tVFNKEsbqX0xoCfOgQAvD_BwE</t>
  </si>
  <si>
    <t>Industrial Table to Hold Boxes and Sort</t>
  </si>
  <si>
    <t>https://www.globalindustrial.com/p/60-x-30-adjustable-height-industrial-workbench?infoParam.campaignId=T9F&amp;gclid=Cj0KCQjwrJOMBhCZARIsAGEd4VFqcrb363ToPAgyy7-W3Y_byzQb8nJl6CJATX2iKWSsNbpKSvSYtn0aAgb2EALw_wcB</t>
  </si>
  <si>
    <t>Table and Chair</t>
  </si>
  <si>
    <t>https://www.schooloutfitters.com/catalog/product_info/pfam_id/PFAM34837/products_id/PRO46215?sc_cid=Google_NOR-RCE3672C&amp;adtype=pla&amp;kw=&amp;gclid=Cj0KCQjwrJOMBhCZARIsAGEd4VFoXIfytG-QJdQW7UJOMZh1SZXKfBvuUciXILd4cL6tYCIZom2zyn8aAt5FEALw_wcB</t>
  </si>
  <si>
    <t>Monitor</t>
  </si>
  <si>
    <t>https://www.dell.com/en-us/work/shop/dell-27-monitor-s2721hsx/apd/210-axkb/monitors-monitor-accessories</t>
  </si>
  <si>
    <t>Utility Cart</t>
  </si>
  <si>
    <t>https://www.globalindustrial.com/p/folding-aluminum-platform-truck-48-x-24-600-lb-capacity?ref=5</t>
  </si>
  <si>
    <t>Multi-Shelf Utility Cart</t>
  </si>
  <si>
    <t>https://www.grainger.com/product/3TPA7?ef_id=Cj0KCQjwrJOMBhCZARIsAGEd4VG_Hvy_4JIRQWU_B0fbcpZWajg432mVOUkLrAfd58V31OiB4f7NiF0aAoX3EALw_wcB:G:s&amp;s_kwcid=AL!2966!3!264955916138!!!g!438323478123!&amp;gucid=N:N:PS:Paid:GGL:CSM-2295:4P7A1P:20501231&amp;gclid=Cj0KCQjwrJOMBhCZARIsAGEd4VG_Hvy_4JIRQWU_B0fbcpZWajg432mVOUkLrAfd58V31OiB4f7NiF0aAoX3EALw_wcB&amp;gclsrc=aw.ds</t>
  </si>
  <si>
    <t>Shelf Bin Organizers</t>
  </si>
  <si>
    <t>https://www.uline.com/Product/Detail/H-2645BLU/Bin-Organizers/Shelf-Bin-Organizer-36-x-18-x-39-with-7-x-18-x-4-Blue-Bins?pricode=WA9277&amp;gadtype=pla&amp;id=H-2645BLU&amp;gclid=Cj0KCQjwrJOMBhCZARIsAGEd4VEWaLKa7u3SDzr6_E-AiDjg9L33igdpI6DMKYwRM3ChTH_9r6DGp7caAuiSEALw_wcB&amp;gclsrc=aw.ds</t>
  </si>
  <si>
    <t>Office Desks and Chair</t>
  </si>
  <si>
    <t>https://www.wayfair.com/furniture/pdp/17-stories-hanska-l-shape-desk-with-chair-set-w003418628.html?piid=</t>
  </si>
  <si>
    <t>Chair and Table for Break Room</t>
  </si>
  <si>
    <t>Couch</t>
  </si>
  <si>
    <t>Total PP&amp;E (gross)</t>
  </si>
  <si>
    <t>Capex Expenditure Y1</t>
  </si>
  <si>
    <t>Office Desk and Chair</t>
  </si>
  <si>
    <t>Capex Expenditure Y2</t>
  </si>
  <si>
    <t>Capex Expenditure Y3</t>
  </si>
  <si>
    <t>Capex Expenditure Y4</t>
  </si>
  <si>
    <t>Plastic Welding</t>
  </si>
  <si>
    <t>Sewing Machine</t>
  </si>
  <si>
    <t>Depreciation schedule</t>
  </si>
  <si>
    <t>Manufacturing Overhead Calculation</t>
  </si>
  <si>
    <t>Indirect Materials</t>
  </si>
  <si>
    <t>Units</t>
  </si>
  <si>
    <t>Machine Oil</t>
  </si>
  <si>
    <t>https://www.amazon.com/3-ONE-10038-Multi-Purpose-Pack/dp/B001E5DLNI/ref=asc_df_B00065VGWK/?tag=hyprod-20&amp;linkCode=df0&amp;hvadid=198054161189&amp;hvpos=&amp;hvnetw=g&amp;hvrand=2966820209643910850&amp;hvpone=&amp;hvptwo=&amp;hvqmt=&amp;hvdev=c&amp;hvdvcmdl=&amp;hvlocint=&amp;hvlocphy=9001997&amp;hvtargid=pla-351701236286&amp;th=1</t>
  </si>
  <si>
    <t>Industrial Glove</t>
  </si>
  <si>
    <t xml:space="preserve"> https://www.zoro.com/pip-coated-gloves-nitrile-xs-blackgray-pr-34-874vxs/i/G0484675/feature-product?utm_source=google&amp;utm_medium=surfaces&amp;utm_campaign=shopping%20feed&amp;utm_content=free%20google%20shopping%20clicks&amp;gclid=Cj0KCQiA-qGNBhD3ARIsAO_o7ylHItEpeS-CZKnkxtRDgYFxWfqe3NhqSHIv0OYTvoOvbEgD-S2Jl3oaAkoEEALw_wcB</t>
  </si>
  <si>
    <t>Sewing Needles</t>
  </si>
  <si>
    <t>https://www.amazon.com/Machine-Needles-Universal-Sin-ger-Bro-Ther/dp/B08L4XYK76/ref=asc_df_B08L4XYK76/?tag=hyprod-20&amp;linkCode=df0&amp;hvadid=492071593868&amp;hvpos=&amp;hvnetw=g&amp;hvrand=9480512785324136341&amp;hvpone=&amp;hvptwo=&amp;hvqmt=&amp;hvdev=c&amp;hvdvcmdl=&amp;hvlocint=&amp;hvlocphy=9001997&amp;hvtargid=pla-1170124169956&amp;psc=1</t>
  </si>
  <si>
    <t>Scissors</t>
  </si>
  <si>
    <t>https://www.grainger.com/product/10F727?ef_id=Cj0KCQjwrJOMBhCZARIsAGEd4VHrYEvN0Cq2ORCJZ_dXLD8rIvp3f1n5xOFagRpVjC0egqyG8JWqkDYaAniZEALw_wcB:G:s&amp;s_kwcid=AL!2966!3!264955915865!!!g!439063557338!&amp;gucid=N:N:PS:Paid:GGL:CSM-2295:4P7A1P:20501231&amp;gclid=Cj0KCQjwrJOMBhCZARIsAGEd4VHrYEvN0Cq2ORCJZ_dXLD8rIvp3f1n5xOFagRpVjC0egqyG8JWqkDYaAniZEALw_wcB&amp;gclsrc=aw.ds</t>
  </si>
  <si>
    <t>Total Indirect Materials</t>
  </si>
  <si>
    <t>Rent</t>
  </si>
  <si>
    <t>Indirect Labor</t>
  </si>
  <si>
    <t>Batch worker Indirect labor</t>
  </si>
  <si>
    <t>https://www.payscale.com/research/US/Job=Injection_Molding_Technician/Hourly_Rate/646c956d/Equipment-Maintenance</t>
  </si>
  <si>
    <t>Total MOH Costs</t>
  </si>
  <si>
    <t>MOH /Unit</t>
  </si>
  <si>
    <t>Direct Labor Calculation</t>
  </si>
  <si>
    <t>Number of workers</t>
  </si>
  <si>
    <t>Hourly Rate</t>
  </si>
  <si>
    <t>assumes 3% increase each year</t>
  </si>
  <si>
    <t>Fringe Benefits</t>
  </si>
  <si>
    <t>30% benefit</t>
  </si>
  <si>
    <t>$/hr</t>
  </si>
  <si>
    <t>units/hr</t>
  </si>
  <si>
    <t>Total/units $</t>
  </si>
  <si>
    <t xml:space="preserve">8 working hours per day </t>
  </si>
  <si>
    <t>260 business days per year</t>
  </si>
  <si>
    <t>Data After Part-Time</t>
  </si>
  <si>
    <t>Part time</t>
  </si>
  <si>
    <t>Part-time workers get paid twice the regular workers</t>
  </si>
  <si>
    <t>Total/units</t>
  </si>
  <si>
    <t xml:space="preserve"> Year 1 Balance Sheet Data:</t>
  </si>
  <si>
    <t>Finished Goods Inventory</t>
  </si>
  <si>
    <t>Raw Material Inventory</t>
  </si>
  <si>
    <t>Total Inventory</t>
  </si>
  <si>
    <t>Revenue:</t>
  </si>
  <si>
    <t>Projected Annual Units</t>
  </si>
  <si>
    <t>Manufacturer's Price per Product</t>
  </si>
  <si>
    <t>Projected Annual Revenue</t>
  </si>
  <si>
    <t>Total Inventory as Weeks of Sales:</t>
  </si>
  <si>
    <t>Average Weekly Sales - Units</t>
  </si>
  <si>
    <t>Product COGS</t>
  </si>
  <si>
    <t>Total Inventory as Weeks of Supply
(Total Inventory Investment / (Average Weekly Sales - (Units) * Product COGS)</t>
  </si>
  <si>
    <t>Total Days of Inventory</t>
  </si>
  <si>
    <t>Year 2 Balance Sheet Data:</t>
  </si>
  <si>
    <t>Year 3 Balance Sheet Data:</t>
  </si>
  <si>
    <t xml:space="preserve"> Year 4 Balance Sheet Data:</t>
  </si>
  <si>
    <t>Year 5 Balance Sheet Data:</t>
  </si>
  <si>
    <t>Key</t>
  </si>
  <si>
    <t>Materials from China</t>
  </si>
  <si>
    <t>Materials from US</t>
  </si>
  <si>
    <t>linen</t>
  </si>
  <si>
    <t>LED light</t>
  </si>
  <si>
    <t>Books</t>
  </si>
  <si>
    <t># of part needed</t>
  </si>
  <si>
    <t>Material cost per unit</t>
  </si>
  <si>
    <t>mean demand annual</t>
  </si>
  <si>
    <t>Mean Demand</t>
  </si>
  <si>
    <t>mean demand</t>
  </si>
  <si>
    <t>Standard deviation of demand annual</t>
  </si>
  <si>
    <t>Standard deviation of demand</t>
  </si>
  <si>
    <t>mean demand weekly</t>
  </si>
  <si>
    <t>Standard deviation of demand weekly</t>
  </si>
  <si>
    <t xml:space="preserve">mean lead time </t>
  </si>
  <si>
    <t>mean lead time</t>
  </si>
  <si>
    <t>Standard deviation of lead time</t>
  </si>
  <si>
    <t>EOQ</t>
  </si>
  <si>
    <t>Cycle stock</t>
  </si>
  <si>
    <t>Safety stock</t>
  </si>
  <si>
    <t>In-transit stock</t>
  </si>
  <si>
    <t>Total Units</t>
  </si>
  <si>
    <t>Cycle Stock</t>
  </si>
  <si>
    <t>Safety</t>
  </si>
  <si>
    <t>Total $</t>
  </si>
  <si>
    <t>total $</t>
  </si>
  <si>
    <t>Paint</t>
  </si>
  <si>
    <t>Stitching Yarn</t>
  </si>
  <si>
    <t xml:space="preserve">Total Raw Material Inventory </t>
  </si>
  <si>
    <t>Direct Materials</t>
  </si>
  <si>
    <t>Bulk discount + Shipping</t>
  </si>
  <si>
    <t>Material</t>
  </si>
  <si>
    <t>Measurement</t>
  </si>
  <si>
    <t>Material Price</t>
  </si>
  <si>
    <t>Q</t>
  </si>
  <si>
    <t>/unit</t>
  </si>
  <si>
    <t>Shipping cost</t>
  </si>
  <si>
    <t>Shipping cost/unit</t>
  </si>
  <si>
    <t>link</t>
  </si>
  <si>
    <t>13 days</t>
  </si>
  <si>
    <t>supplier response back</t>
  </si>
  <si>
    <t>https://www.alibaba.com/product-detail/Led-Diodes-Diode-Light-Ledled-2mm_1600178800964.html?spm=a2700.galleryofferlist.topad_creative.d_image.6da94bc0kKFOFD</t>
  </si>
  <si>
    <t>3 days</t>
  </si>
  <si>
    <t>none</t>
  </si>
  <si>
    <t>/10000ft</t>
  </si>
  <si>
    <t>https://bulkwire.com/stranded-hookup-wire-300volt-ul1007</t>
  </si>
  <si>
    <t>TBD - waiting on email back</t>
  </si>
  <si>
    <t>no email yet</t>
  </si>
  <si>
    <t>https://www.bookmobile.com/get-a-book-printing-quote-in-ten-seconds/#</t>
  </si>
  <si>
    <t>15 Days</t>
  </si>
  <si>
    <t>https://www.alibaba.com/product-detail/5-5mm-tiny-nfc-tags-iso14443A_62132162848.html?spm=a2700.7724857.normal_offer.d_title.54fc48ba9Q0ngc</t>
  </si>
  <si>
    <t>7 Days</t>
  </si>
  <si>
    <t>https://www.alibaba.com/product-detail/long-range-antenna-10km-internal-fm_62424043358.html?mark=google_shopping&amp;seo=1</t>
  </si>
  <si>
    <t>0/3 days</t>
  </si>
  <si>
    <t>0.79  0.63 for order greater than 50</t>
  </si>
  <si>
    <t>https://www.pololu.com/product/1150</t>
  </si>
  <si>
    <t>https://www.alibaba.com/product-detail/Factory-Directly-ATmega328p-Microcontroller-Development-Board_1600169255739.html?spm=a2700.12243863.0.0.2ce83e5flfvjRj</t>
  </si>
  <si>
    <t>1 day</t>
  </si>
  <si>
    <t xml:space="preserve">https://www.alibaba.com/product-detail/Doll-Wig-Hair-Row-15cm-100cm_1600080638726.html?spm=a2700.details.0.0.1829549bwvGIxPspm=a2700.pc_countrysearch.main07.10.3dd958b87sVolG </t>
  </si>
  <si>
    <t>https://www.uline.com/Product/Detail/S-22651/Corrugated-Boxes-32-ECT/20-x-16-x-6-Lightweight-32-ECT-Corrugated-Boxes</t>
  </si>
  <si>
    <t>6 days</t>
  </si>
  <si>
    <t>on link at different quantities</t>
  </si>
  <si>
    <t>https://www.te.com/usa-en/product-1825967-1.html?te_bu=Cor&amp;te_type=srch&amp;te_campaign=ggl_usa_cor-ggl-usa-srch-smbmktg-fy22-googlefeed_sma_sma-2210_2&amp;elqCampaignId=115724&amp;mkwid=MwXlQveT%7Cpcrid%7C386964346949%7Cpkw%7C%7Cpmt%7C%7Cpdv%7Cc%7Cslid%7C%7Cproductid%7C1825967-1%7Cpgrid%7C78782457963%7Cptaid%7Cpla-1398991370807%7C&amp;utm_content=MwXlQveT%7Cpcrid%7C386964346949%7Cpkw%7C%7Cpmt%7C%7Cpdv%7Cc%7Cslid%7C%7Cproductid%7C1825967-1%7Cpgrid%7C78782457963%7Cptaid%7Cpla-1398991370807&amp;gclid=CjwKCAjwoP6LBhBlEiwAvCcthAJ9Dwpz4udtbbzbnjxr6kwjpylgFoxoTto4VWMwhTlmHDNDLDGGKRoC0J0QAvD_BwE</t>
  </si>
  <si>
    <t>TOTAL</t>
  </si>
  <si>
    <t>Direct Materials (Draw down quantity)</t>
  </si>
  <si>
    <t>26 days</t>
  </si>
  <si>
    <t>/yard</t>
  </si>
  <si>
    <t>https://www.richengtex.com/contactus.html</t>
  </si>
  <si>
    <t>2 days</t>
  </si>
  <si>
    <t>/lb</t>
  </si>
  <si>
    <t xml:space="preserve">https://qzxmxcl.en.alibaba.com/?spm=a2700.12243863.0.0.38403e5frJ9Ggu </t>
  </si>
  <si>
    <t>/gal</t>
  </si>
  <si>
    <t>https://industrial.sherwin-williams.com/na/us/en/general-industrial/search-results.html?searchterm=plastic</t>
  </si>
  <si>
    <t>1/3 days</t>
  </si>
  <si>
    <t>free shipping over three</t>
  </si>
  <si>
    <t>/qrt</t>
  </si>
  <si>
    <t>https://www.zoro.com/3m-contactadhesive-multi-purpose-1qt-yellow-10/i/G2335225/</t>
  </si>
  <si>
    <t>TBD</t>
  </si>
  <si>
    <t>/lbs</t>
  </si>
  <si>
    <t>https://organiccottonplus.com/collections/fiber/products/stuffing-batting-1-lb-bag</t>
  </si>
  <si>
    <t>4 days</t>
  </si>
  <si>
    <t>2.59  2.49 for order greater than4</t>
  </si>
  <si>
    <t>/3000 yard</t>
  </si>
  <si>
    <t>https://www.wawak.com/Thread/Thread-By-Brand/Maxi-Lock/maxi-lock-serger-spun-polyester-thread-tex-27/?sku=SPT443299</t>
  </si>
  <si>
    <t>Process Steps</t>
  </si>
  <si>
    <t>Demand and Inventory</t>
  </si>
  <si>
    <t>Balance Sheet Value</t>
  </si>
  <si>
    <t>Year 1 Process Steps:</t>
  </si>
  <si>
    <t>Values are as determined for your business</t>
  </si>
  <si>
    <t>Mean Annual Product Demand (Units)</t>
  </si>
  <si>
    <t>Product Weekly Demand &amp; WIP (Units)</t>
  </si>
  <si>
    <t>Product Safety Stock (Units)</t>
  </si>
  <si>
    <t>COGS per Unit</t>
  </si>
  <si>
    <t>Material Cost per Unit</t>
  </si>
  <si>
    <t>FGI Cycle Stock</t>
  </si>
  <si>
    <t>FGI Safety Stock</t>
  </si>
  <si>
    <t>Product WIP</t>
  </si>
  <si>
    <r>
      <t>Pre-build FGI at T</t>
    </r>
    <r>
      <rPr>
        <vertAlign val="subscript"/>
        <sz val="12"/>
        <color theme="1"/>
        <rFont val="Calibri (Body)"/>
      </rPr>
      <t>O</t>
    </r>
  </si>
  <si>
    <t>TBD By Each Team</t>
  </si>
  <si>
    <t>Year 2 Process Steps:</t>
  </si>
  <si>
    <t>n</t>
  </si>
  <si>
    <t>Year 3 Process Steps:</t>
  </si>
  <si>
    <t>Year 4 Process Steps:</t>
  </si>
  <si>
    <t>Year 5 Process Steps:</t>
  </si>
  <si>
    <t>Aggregate Planning</t>
  </si>
  <si>
    <t>2020 google Interst of educational toys</t>
  </si>
  <si>
    <t>Period</t>
  </si>
  <si>
    <t>Category: All categories</t>
  </si>
  <si>
    <t>Forecast</t>
  </si>
  <si>
    <t>Jan</t>
  </si>
  <si>
    <t>Output</t>
  </si>
  <si>
    <t>Week</t>
  </si>
  <si>
    <t>educational toys: (United States)</t>
  </si>
  <si>
    <t>Feb</t>
  </si>
  <si>
    <t xml:space="preserve">    Regular</t>
  </si>
  <si>
    <t>Mar</t>
  </si>
  <si>
    <t xml:space="preserve">    Overtime</t>
  </si>
  <si>
    <t>Apr</t>
  </si>
  <si>
    <t xml:space="preserve">    Part Time</t>
  </si>
  <si>
    <t>May</t>
  </si>
  <si>
    <t xml:space="preserve">    Subcontract</t>
  </si>
  <si>
    <t>Jun</t>
  </si>
  <si>
    <t>Output - Forecast</t>
  </si>
  <si>
    <t>Jul</t>
  </si>
  <si>
    <t>Aug</t>
  </si>
  <si>
    <t xml:space="preserve">    Beginning</t>
  </si>
  <si>
    <t>Sep</t>
  </si>
  <si>
    <t xml:space="preserve">    Ending</t>
  </si>
  <si>
    <t>Oct</t>
  </si>
  <si>
    <t xml:space="preserve">    Average</t>
  </si>
  <si>
    <t>Nov</t>
  </si>
  <si>
    <t>Backorders</t>
  </si>
  <si>
    <t>Dec</t>
  </si>
  <si>
    <t>Costs:</t>
  </si>
  <si>
    <t>Regular        @</t>
  </si>
  <si>
    <t>Overtime      @</t>
  </si>
  <si>
    <t>Part Time     @</t>
  </si>
  <si>
    <t>Subcontract  @</t>
  </si>
  <si>
    <t>Inventory      @</t>
  </si>
  <si>
    <t>Backorders  @</t>
  </si>
  <si>
    <t>Hire/Lay off</t>
  </si>
  <si>
    <t>total</t>
  </si>
  <si>
    <t>capacity/month</t>
  </si>
  <si>
    <t xml:space="preserve"> # needed year 1</t>
  </si>
  <si>
    <t xml:space="preserve"> # needed year 2</t>
  </si>
  <si>
    <t xml:space="preserve"> # needed year 3</t>
  </si>
  <si>
    <t xml:space="preserve"> # needed year 4</t>
  </si>
  <si>
    <t xml:space="preserve"> # needed year 5</t>
  </si>
  <si>
    <t xml:space="preserve">Injection molding machine </t>
  </si>
  <si>
    <t>15 secs each</t>
  </si>
  <si>
    <t>Embroidery machine</t>
  </si>
  <si>
    <t>60 secs each</t>
  </si>
  <si>
    <t>Sewing machine</t>
  </si>
  <si>
    <t>30 secs each</t>
  </si>
  <si>
    <t>Plastic welding machine</t>
  </si>
  <si>
    <t>30 eacs each</t>
  </si>
  <si>
    <t>Cycle Time</t>
  </si>
  <si>
    <t>Takt time</t>
  </si>
  <si>
    <t>Month</t>
  </si>
  <si>
    <t>Monthly Capacity</t>
  </si>
  <si>
    <t>capacity calculated by dividing total time by cycle time</t>
  </si>
  <si>
    <t xml:space="preserve"> Year 1</t>
  </si>
  <si>
    <t>Design Capacity</t>
  </si>
  <si>
    <t>Effective Capacity 85% Design</t>
  </si>
  <si>
    <t>Effective Capacity 91% Design</t>
  </si>
  <si>
    <t>Actual output</t>
  </si>
  <si>
    <t>Capacity Utilization</t>
  </si>
  <si>
    <t>Capacity Efficiency</t>
  </si>
  <si>
    <t>Total Available Time</t>
  </si>
  <si>
    <t>Demand/Day</t>
  </si>
  <si>
    <t>Takt Times Minutes</t>
  </si>
  <si>
    <t>Workers Needed</t>
  </si>
  <si>
    <t>Round Workers</t>
  </si>
  <si>
    <t>Yield Rate</t>
  </si>
  <si>
    <t xml:space="preserve">Workstation </t>
  </si>
  <si>
    <t>CT</t>
  </si>
  <si>
    <t>Sensitvity</t>
  </si>
  <si>
    <t>1= A</t>
  </si>
  <si>
    <t>2= B</t>
  </si>
  <si>
    <t>3= C+D</t>
  </si>
  <si>
    <t>4= E</t>
  </si>
  <si>
    <t>5= F+G+H</t>
  </si>
  <si>
    <t>Workstations</t>
  </si>
  <si>
    <t>Process Time</t>
  </si>
  <si>
    <t>Workers</t>
  </si>
  <si>
    <t>Time w Workers</t>
  </si>
  <si>
    <t>Task</t>
  </si>
  <si>
    <t>Description</t>
  </si>
  <si>
    <t>Mins</t>
  </si>
  <si>
    <t>a</t>
  </si>
  <si>
    <t>Conenct Batteries and Led Lights with Microchip</t>
  </si>
  <si>
    <t>b</t>
  </si>
  <si>
    <t>Glue plastic Shells</t>
  </si>
  <si>
    <t>c</t>
  </si>
  <si>
    <t>Embroidery and Detailing Fabric</t>
  </si>
  <si>
    <t>d</t>
  </si>
  <si>
    <t>Stuffing and attaching RFID</t>
  </si>
  <si>
    <t>e</t>
  </si>
  <si>
    <t>Stich Fabric together</t>
  </si>
  <si>
    <t>f</t>
  </si>
  <si>
    <t>Attach Clothes to Doll</t>
  </si>
  <si>
    <t>g</t>
  </si>
  <si>
    <t>Quality Inspection</t>
  </si>
  <si>
    <t>h</t>
  </si>
  <si>
    <t>Packaging Dol</t>
  </si>
  <si>
    <t>Y1</t>
  </si>
  <si>
    <t>Y2</t>
  </si>
  <si>
    <t>Y3</t>
  </si>
  <si>
    <t>Y4</t>
  </si>
  <si>
    <t>Y5</t>
  </si>
  <si>
    <t>Needed takt</t>
  </si>
  <si>
    <t>Cycle time</t>
  </si>
  <si>
    <t>Functions</t>
  </si>
  <si>
    <t>Simple Profit (Loss) Analysis</t>
  </si>
  <si>
    <t>Our data</t>
  </si>
  <si>
    <t>MK</t>
  </si>
  <si>
    <t>Retail Price</t>
  </si>
  <si>
    <t>Segment Size</t>
  </si>
  <si>
    <t>Purchase Intent(PI)</t>
  </si>
  <si>
    <t>Awareness</t>
  </si>
  <si>
    <t>Distribution(ACV)</t>
  </si>
  <si>
    <t>% of Units lost to Competition</t>
  </si>
  <si>
    <t>Unit Sold</t>
  </si>
  <si>
    <t>Channel Margin per unit</t>
  </si>
  <si>
    <t>OM</t>
  </si>
  <si>
    <t>Manufacturer's Price per unit</t>
  </si>
  <si>
    <t>COGS(Marginal cost)</t>
  </si>
  <si>
    <t>Cost of Raw Material per unit</t>
  </si>
  <si>
    <t>Direct Labor per unit</t>
  </si>
  <si>
    <t>OM/FE</t>
  </si>
  <si>
    <t>MOH per unit</t>
  </si>
  <si>
    <t>Reminder for all Overhead cost</t>
  </si>
  <si>
    <t>G&amp;A per unit</t>
  </si>
  <si>
    <t>Sales and Marketing per unit</t>
  </si>
  <si>
    <t>Marginal Profit per unit</t>
  </si>
  <si>
    <t>FE</t>
  </si>
  <si>
    <t>Sales Revenue</t>
  </si>
  <si>
    <t>Marginal Profit</t>
  </si>
  <si>
    <t>Marginal Profit as %</t>
  </si>
  <si>
    <t>Fixed Overhead cost not covered elsewhere</t>
  </si>
  <si>
    <t>Net Profit</t>
  </si>
  <si>
    <t>Net Profit as %of Sales</t>
  </si>
  <si>
    <t xml:space="preserve">Total Annual Unit Sales Year 1 = </t>
  </si>
  <si>
    <t>Channel</t>
  </si>
  <si>
    <t>Period of Project</t>
  </si>
  <si>
    <t>Channel Partner</t>
  </si>
  <si>
    <t>% of Annual Sales</t>
  </si>
  <si>
    <t>Annual # Units</t>
  </si>
  <si>
    <t>DCs or Independent Retail Stores to Be Included in Your Channels</t>
  </si>
  <si>
    <t>Quarterly Quantity of Shipment to Each DC or Biannual Quantity of Shipments to Independent Retail Stores</t>
  </si>
  <si>
    <t>Transportation Cost Per Unit (Based on Cubic Volume, Weight &amp; Distance)</t>
  </si>
  <si>
    <t>Quarterly or Biannual Shipping Cost per Channel</t>
  </si>
  <si>
    <t>Total Annual Shipping Cost per channel</t>
  </si>
  <si>
    <t>Independent Retail Stores</t>
  </si>
  <si>
    <t>Y1 - Y3</t>
  </si>
  <si>
    <t>5600 W Lovers Lane, Ste 123
Dallas, TX 75209</t>
  </si>
  <si>
    <t>6333 W 3rd St Ste 720 Los Angeles, CA 90036</t>
  </si>
  <si>
    <t>3038 Stony Point Rd Richmont VA, 23235</t>
  </si>
  <si>
    <t>https://www.freightquote.com/book/#/quote-summary</t>
  </si>
  <si>
    <t>On-line</t>
  </si>
  <si>
    <t>Y1 - Y5</t>
  </si>
  <si>
    <t>Amazon Fulfillment</t>
  </si>
  <si>
    <t>Large Chains</t>
  </si>
  <si>
    <t>Y3 - Y5</t>
  </si>
  <si>
    <t>Mass Merchants</t>
  </si>
  <si>
    <t>Y4 - Y5</t>
  </si>
  <si>
    <t>Grand Totals:</t>
  </si>
  <si>
    <t xml:space="preserve">Total Annual Unit Sales Year 2 = </t>
  </si>
  <si>
    <t xml:space="preserve">Total Annual Unit Sales Year 3 = </t>
  </si>
  <si>
    <t xml:space="preserve">Total Annual Unit Sales Year 4 = </t>
  </si>
  <si>
    <t>Channel Location</t>
  </si>
  <si>
    <t>Selected</t>
  </si>
  <si>
    <t xml:space="preserve">get % from MK inputs tab </t>
  </si>
  <si>
    <t>1 way to calculate freight cost by parcel</t>
  </si>
  <si>
    <t>https://www.packair.com/pallet-calculator/</t>
  </si>
  <si>
    <t>Chains</t>
  </si>
  <si>
    <t>Fao Schwartz</t>
  </si>
  <si>
    <t>Only NJ, NYC</t>
  </si>
  <si>
    <t>Just NJ</t>
  </si>
  <si>
    <t>Pallet</t>
  </si>
  <si>
    <t xml:space="preserve">78 toys </t>
  </si>
  <si>
    <t xml:space="preserve">Does not have a distribution center - Accepted on the Preferred List </t>
  </si>
  <si>
    <t xml:space="preserve">CA 94549, San Antonio, TX 78209, Pinecrest, FL 33156, Richboro, PA 18954
</t>
  </si>
  <si>
    <t xml:space="preserve">pallet weight </t>
  </si>
  <si>
    <t>390 lbs</t>
  </si>
  <si>
    <t>2 warehouses in CA and 1 in NC</t>
  </si>
  <si>
    <t>assumption: 1 in CA, 1 in NC</t>
  </si>
  <si>
    <t>Mass merchant</t>
  </si>
  <si>
    <t>https://www.mwpvl.com/html/walmart.html</t>
  </si>
  <si>
    <t>42 regional DCS, 5 in TX</t>
  </si>
  <si>
    <t>Each DC supports 100 stores in a 150+ mile radius</t>
  </si>
  <si>
    <t xml:space="preserve">Target </t>
  </si>
  <si>
    <t>https://www.mwpvl.com/html/target.html</t>
  </si>
  <si>
    <t>29 regional DCS, 2 in TX, 1 in AL</t>
  </si>
  <si>
    <t>Listed 1 because of hub center - Dallas, Texas</t>
  </si>
  <si>
    <t>Kohls</t>
  </si>
  <si>
    <t>https://careers.kohls.com/distribution/locations</t>
  </si>
  <si>
    <t>SAN BERNARDINO CA, DESOTO TX, MIDDLETOWN OH, WORTSBURO NY</t>
  </si>
  <si>
    <t>Amazon</t>
  </si>
  <si>
    <t>https://selleressentials.com/amazon/amazon-fulfillment-center-locations/</t>
  </si>
  <si>
    <t>16 in TX</t>
  </si>
  <si>
    <t>Amazon Fulfillment Center SAT9, 1214 N Foster Rd, San Antonio, TX 78219</t>
  </si>
  <si>
    <t xml:space="preserve">Total Annual Unit Sales Year 5 = </t>
  </si>
  <si>
    <t>Assumptions for Make versus Buy analysis</t>
  </si>
  <si>
    <r>
      <t>1.</t>
    </r>
    <r>
      <rPr>
        <sz val="7"/>
        <color theme="1"/>
        <rFont val="Times New Roman"/>
        <family val="1"/>
      </rPr>
      <t xml:space="preserve">    </t>
    </r>
    <r>
      <rPr>
        <sz val="14"/>
        <color theme="1"/>
        <rFont val="Times New Roman"/>
        <family val="1"/>
      </rPr>
      <t>Facility space requirements remain the same for any volume of the component that is produced</t>
    </r>
  </si>
  <si>
    <r>
      <t>2.</t>
    </r>
    <r>
      <rPr>
        <sz val="7"/>
        <color theme="1"/>
        <rFont val="Times New Roman"/>
        <family val="1"/>
      </rPr>
      <t xml:space="preserve">    </t>
    </r>
    <r>
      <rPr>
        <sz val="14"/>
        <color theme="1"/>
        <rFont val="Times New Roman"/>
        <family val="1"/>
      </rPr>
      <t>Utility cost remains the same regardless of the volume of the component that is produced</t>
    </r>
  </si>
  <si>
    <r>
      <t>3.</t>
    </r>
    <r>
      <rPr>
        <sz val="7"/>
        <color theme="1"/>
        <rFont val="Times New Roman"/>
        <family val="1"/>
      </rPr>
      <t xml:space="preserve">    </t>
    </r>
    <r>
      <rPr>
        <sz val="14"/>
        <color theme="1"/>
        <rFont val="Times New Roman"/>
        <family val="1"/>
      </rPr>
      <t>All equipment required to produce at peak capacity will be purchased at one time</t>
    </r>
  </si>
  <si>
    <r>
      <t>4.</t>
    </r>
    <r>
      <rPr>
        <sz val="7"/>
        <color theme="1"/>
        <rFont val="Times New Roman"/>
        <family val="1"/>
      </rPr>
      <t xml:space="preserve">    </t>
    </r>
    <r>
      <rPr>
        <sz val="14"/>
        <color theme="1"/>
        <rFont val="Times New Roman"/>
        <family val="1"/>
      </rPr>
      <t>Supervision cost will remain constant for any volume of the component that is produced</t>
    </r>
  </si>
  <si>
    <r>
      <t>5.</t>
    </r>
    <r>
      <rPr>
        <sz val="7"/>
        <color theme="1"/>
        <rFont val="Times New Roman"/>
        <family val="1"/>
      </rPr>
      <t xml:space="preserve">    </t>
    </r>
    <r>
      <rPr>
        <sz val="14"/>
        <color theme="1"/>
        <rFont val="Times New Roman"/>
        <family val="1"/>
      </rPr>
      <t>Maintenance costs will remain constant for any volume of the component that is produced</t>
    </r>
  </si>
  <si>
    <r>
      <t>6.</t>
    </r>
    <r>
      <rPr>
        <sz val="7"/>
        <color theme="1"/>
        <rFont val="Times New Roman"/>
        <family val="1"/>
      </rPr>
      <t xml:space="preserve">    </t>
    </r>
    <r>
      <rPr>
        <sz val="14"/>
        <color theme="1"/>
        <rFont val="Times New Roman"/>
        <family val="1"/>
      </rPr>
      <t>The purchase cost (per unit) of materials remains the same for any volume purchased (i.e., no quantity discounts, no price increases)</t>
    </r>
  </si>
  <si>
    <r>
      <t>7.</t>
    </r>
    <r>
      <rPr>
        <sz val="7"/>
        <color theme="1"/>
        <rFont val="Times New Roman"/>
        <family val="1"/>
      </rPr>
      <t xml:space="preserve">    </t>
    </r>
    <r>
      <rPr>
        <sz val="14"/>
        <color theme="1"/>
        <rFont val="Times New Roman"/>
        <family val="1"/>
      </rPr>
      <t>The amount that is purchased or produced is equal to the forecasted demand for the period.</t>
    </r>
  </si>
  <si>
    <t xml:space="preserve">8. Average cost of utilities for commerical buildings is $1.00 per square foot. </t>
  </si>
  <si>
    <t>9. Maintenance cost are estimated to be between 15 - 40% of total prodution costs, using the 15%.</t>
  </si>
  <si>
    <t>Cost Per Unit - MAKE</t>
  </si>
  <si>
    <t>Basis:</t>
  </si>
  <si>
    <t>units</t>
  </si>
  <si>
    <t>Cost Per Unit - BUY</t>
  </si>
  <si>
    <t xml:space="preserve">Basis: </t>
  </si>
  <si>
    <t>Cost Per Unit</t>
  </si>
  <si>
    <t xml:space="preserve">Materials </t>
  </si>
  <si>
    <t>Coated Fine Paper (Hardcover)</t>
  </si>
  <si>
    <t>Book</t>
  </si>
  <si>
    <t>Ink</t>
  </si>
  <si>
    <t>Freight</t>
  </si>
  <si>
    <t>Glue (Eva hot melt adhesives)</t>
  </si>
  <si>
    <t>Anti-offset Powder</t>
  </si>
  <si>
    <t xml:space="preserve">Lubricant </t>
  </si>
  <si>
    <t>Binder's Board (Hardcover)</t>
  </si>
  <si>
    <t>Uncoated Paper (Storyline Book Pages)</t>
  </si>
  <si>
    <t>Linen Material (Pocket for Accessories)</t>
  </si>
  <si>
    <t xml:space="preserve">Laminator Film </t>
  </si>
  <si>
    <t>Indifference Point</t>
  </si>
  <si>
    <t>Total Materials</t>
  </si>
  <si>
    <t>Fixed Cost (MAKE - 5 years)</t>
  </si>
  <si>
    <t>Variable Cost Per Unit (MAKE)</t>
  </si>
  <si>
    <t>Production Equipment            (equipment qty. in parentheses)</t>
  </si>
  <si>
    <t xml:space="preserve">Agfa Xcalibur VLF Platesetter </t>
  </si>
  <si>
    <t>Purchase Cost Per Unit</t>
  </si>
  <si>
    <t>Ricoh Pro C9110 Printer</t>
  </si>
  <si>
    <t>Ledco Hd 38 - 38 Inch Heavy Duty Roll Laminator</t>
  </si>
  <si>
    <t>Quantity @ Indifference Point</t>
  </si>
  <si>
    <t>Challenge Champion 305 Manual Backgauge Paper Cutter</t>
  </si>
  <si>
    <t xml:space="preserve">FORMAX FD 6204 - FULLY AUTOMATIC DOCUMENT FOLDER INSERTER </t>
  </si>
  <si>
    <t xml:space="preserve">MBM FC 10 Ten-Bin Automatic Collator </t>
  </si>
  <si>
    <t xml:space="preserve">NPV Analysis </t>
  </si>
  <si>
    <t>16.5" Automatic 3 Glue Rollers Perfect Binder Glue Binding Machine</t>
  </si>
  <si>
    <t xml:space="preserve">Challenge CMT-130 Book Trimmer </t>
  </si>
  <si>
    <t xml:space="preserve">Year 2 </t>
  </si>
  <si>
    <t>Conveyor belt (2) (each 3,500)</t>
  </si>
  <si>
    <t>Demand (in units)</t>
  </si>
  <si>
    <t xml:space="preserve">Hand Cart </t>
  </si>
  <si>
    <t>Cash Flows (MAKE all 5 years)</t>
  </si>
  <si>
    <t>Pallet Lift (2)</t>
  </si>
  <si>
    <t>Cash Flows (BUY all 5 years)</t>
  </si>
  <si>
    <t xml:space="preserve">Total Equipment </t>
  </si>
  <si>
    <t>Cash Flows (BUY in Yrs. 1-3/MAKE in Yrs. 4-5)</t>
  </si>
  <si>
    <t>Facilities (5,000 utilized out of a 22,000 SQ.FT @6.50 per sq. ft.)</t>
  </si>
  <si>
    <t>Leased Space</t>
  </si>
  <si>
    <t xml:space="preserve">Ultilities </t>
  </si>
  <si>
    <r>
      <t xml:space="preserve">NPV </t>
    </r>
    <r>
      <rPr>
        <i/>
        <sz val="12"/>
        <color theme="1"/>
        <rFont val="Calibri"/>
        <family val="2"/>
        <scheme val="minor"/>
      </rPr>
      <t>(MAKE all 5 years)</t>
    </r>
  </si>
  <si>
    <t xml:space="preserve">Total Facilities </t>
  </si>
  <si>
    <r>
      <t>NPV</t>
    </r>
    <r>
      <rPr>
        <i/>
        <sz val="12"/>
        <color theme="1"/>
        <rFont val="Calibri"/>
        <family val="2"/>
        <scheme val="minor"/>
      </rPr>
      <t xml:space="preserve"> (BUY all 5 years)</t>
    </r>
  </si>
  <si>
    <r>
      <t>NPV</t>
    </r>
    <r>
      <rPr>
        <i/>
        <sz val="12"/>
        <color theme="1"/>
        <rFont val="Calibri"/>
        <family val="2"/>
        <scheme val="minor"/>
      </rPr>
      <t xml:space="preserve"> (BUY in Yrs. 1-3/MAKE in Yrs. 4-5)</t>
    </r>
  </si>
  <si>
    <t xml:space="preserve">Labor </t>
  </si>
  <si>
    <t xml:space="preserve">Direct Assembly </t>
  </si>
  <si>
    <t>Supervision (2)</t>
  </si>
  <si>
    <t>Total Labor</t>
  </si>
  <si>
    <t>Maintenance (.15% of total production costs)</t>
  </si>
  <si>
    <t>Maintenance Budget</t>
  </si>
  <si>
    <t>Total Maintenance</t>
  </si>
  <si>
    <t xml:space="preserve">Grand Total </t>
  </si>
  <si>
    <t>Marketing Assumptions</t>
  </si>
  <si>
    <t>Segment Growth Rate</t>
  </si>
  <si>
    <t>Average Weighted Manufacturing Selilng Price</t>
  </si>
  <si>
    <t>Calculations:</t>
  </si>
  <si>
    <t xml:space="preserve">Segment Size: </t>
  </si>
  <si>
    <t>Annual Segment Growth Rate:</t>
  </si>
  <si>
    <t xml:space="preserve">Retail Environment Growth Rate: </t>
  </si>
  <si>
    <t>Segmentation Tree</t>
  </si>
  <si>
    <t>% of Segment</t>
  </si>
  <si>
    <t>Projected Number of Children Aged 6-11 in the US, Used as a proxy for Growth of Kids Aged 5-12</t>
  </si>
  <si>
    <t>Growth Rate</t>
  </si>
  <si>
    <t>US Households W Income &gt;$35K</t>
  </si>
  <si>
    <t>Retail Environment Growth</t>
  </si>
  <si>
    <t>Segment Growth Rate  per Year (CAGR)</t>
  </si>
  <si>
    <t>HHs with Children 5-12 that make &lt;$35K</t>
  </si>
  <si>
    <t>Has Physically Active Children</t>
  </si>
  <si>
    <t>Parents who spend &lt;6 hours actively playing with children per day</t>
  </si>
  <si>
    <t>Parents who have previously purchased educational toys</t>
  </si>
  <si>
    <t>Average Growth</t>
  </si>
  <si>
    <t>Total Segment Growth Rate</t>
  </si>
  <si>
    <t>Bases Model</t>
  </si>
  <si>
    <t xml:space="preserve">Target Market Size </t>
  </si>
  <si>
    <t xml:space="preserve">ADJUSTED purchase intention @ $ Average weighted retail price </t>
  </si>
  <si>
    <t>Units at Trial</t>
  </si>
  <si>
    <t>Trial Units</t>
  </si>
  <si>
    <t>BASES Units (before competition)</t>
  </si>
  <si>
    <t>TOTAL UNITS</t>
  </si>
  <si>
    <t xml:space="preserve">Average WEIGHTED manufacturer's selling price to channel </t>
  </si>
  <si>
    <t>Total Manufacturer Sales ($)</t>
  </si>
  <si>
    <t>Marketing Average Manufacturing Selling Price</t>
  </si>
  <si>
    <t>Purchasing Intent Calculation</t>
  </si>
  <si>
    <t>Average Weighted Manufacturer's Selling Price to Channel</t>
  </si>
  <si>
    <t>PI (Without CSR Adjustment)</t>
  </si>
  <si>
    <t>Pricing My First Aid Friend Through Comparable Products' Channel Margins</t>
  </si>
  <si>
    <t>% Man total units</t>
  </si>
  <si>
    <t>Manf selling price</t>
  </si>
  <si>
    <t>Retailer Margin</t>
  </si>
  <si>
    <t>Retail Selling Price</t>
  </si>
  <si>
    <t>Independent</t>
  </si>
  <si>
    <t>Retail Pricing Analysis</t>
  </si>
  <si>
    <t>units into independent retailers</t>
  </si>
  <si>
    <t>Online</t>
  </si>
  <si>
    <t>Operation</t>
  </si>
  <si>
    <t>% Change from Online</t>
  </si>
  <si>
    <t>Retail Pricing Methodology:</t>
  </si>
  <si>
    <t>units online</t>
  </si>
  <si>
    <t>Chain</t>
  </si>
  <si>
    <t>My First Aid Friend's Product pricing was based on comparable product's channel margins and maintaining the price close to the revenue maximizing (RM) price of $82.37 and the PI which is 15% the revenue maximizing price produces. Looking at four different comparable products, their prices in each of the following channels were researched: Online, Independent Stores, Chains and Mass Merchants. All pricing margins were calculated relative to online selling price and then averaged between the four products. However, average margins used on My First Aid Friend's base retail price of $83 (rounded up from RM price) in online channels produced prices that were too variable. Therefore margins were adjusted by 15% to produce reasonable prices that produce an average weighted retailer selling price close to the revenue maximizing price. Another consideration was ensuring the Manufacturing Selling Prices the company charged independent stores were higher than mass merchants due to the fact that independent stores sell substantially less volume.</t>
  </si>
  <si>
    <t>units into chain retailer</t>
  </si>
  <si>
    <t>Mass</t>
  </si>
  <si>
    <t>units into mass merchants</t>
  </si>
  <si>
    <t>Average</t>
  </si>
  <si>
    <t xml:space="preserve">Chain </t>
  </si>
  <si>
    <t>Average WEIGHTED manufactuer's selling price to channel</t>
  </si>
  <si>
    <t>Average WEIGHTED retailer selling price</t>
  </si>
  <si>
    <t>Maufacturer Sales</t>
  </si>
  <si>
    <t>Melissa and Doug's Get Well Doctor's Kit</t>
  </si>
  <si>
    <t>Barbie Baby Doctor</t>
  </si>
  <si>
    <t>Year 1-2 Weighted Manufacturer is $50, Year 3-5 it falls to $47, $35, and $44 respectively as company enters mass merchants with lower retail prices and leaves independent retailers with higher retail prices</t>
  </si>
  <si>
    <t>Baby Alive Lulu Achoo Doll</t>
  </si>
  <si>
    <t>N/A</t>
  </si>
  <si>
    <t>Adjust (Minus)</t>
  </si>
  <si>
    <t>Adjustment</t>
  </si>
  <si>
    <t>Average Change Independent</t>
  </si>
  <si>
    <t>Average Change Chain</t>
  </si>
  <si>
    <t>Average Change Mass</t>
  </si>
  <si>
    <t>Average WEIGHTED manufacturer's selling price to channel</t>
  </si>
  <si>
    <t>RM Price is $82.37 and Target Segment is Busy Parents with Income &gt;$35K and kids 5-12 years old with Physically Active Kids and Have Previously Purchased Educational Toys</t>
  </si>
  <si>
    <t>Count of Likelihood of Purchase</t>
  </si>
  <si>
    <t>Likelihood of Purchase</t>
  </si>
  <si>
    <t xml:space="preserve">Pasted Data: </t>
  </si>
  <si>
    <t>CSR Purchase Intent Adjustment</t>
  </si>
  <si>
    <t>Price Expectation</t>
  </si>
  <si>
    <t>Def Not Buy</t>
  </si>
  <si>
    <t>Probably Not Buy</t>
  </si>
  <si>
    <t>Maybe Buy</t>
  </si>
  <si>
    <t>Probably Buy</t>
  </si>
  <si>
    <t>Def Buy</t>
  </si>
  <si>
    <t>Grand Total</t>
  </si>
  <si>
    <t>CSR Initiative: Various Skin Tones for Dolls</t>
  </si>
  <si>
    <t># of DB +PB responses</t>
  </si>
  <si>
    <t>% of total DB+ PB responses</t>
  </si>
  <si>
    <t>CSR Increase</t>
  </si>
  <si>
    <t>Total CSR Lift</t>
  </si>
  <si>
    <t>Increase significantly</t>
  </si>
  <si>
    <t>Increase somewhat</t>
  </si>
  <si>
    <t xml:space="preserve">No change </t>
  </si>
  <si>
    <t>Sample</t>
  </si>
  <si>
    <t>Population</t>
  </si>
  <si>
    <t>CSR: Foster Home, First Aid Awareness Initiative</t>
  </si>
  <si>
    <t>Data Plotted on Demand Curve:</t>
  </si>
  <si>
    <t>Price</t>
  </si>
  <si>
    <t>Adjusted PB</t>
  </si>
  <si>
    <t>Adjusted DB</t>
  </si>
  <si>
    <t>PB * .3</t>
  </si>
  <si>
    <t>DB * .8</t>
  </si>
  <si>
    <t>Sum Across</t>
  </si>
  <si>
    <t>Cumulative PI</t>
  </si>
  <si>
    <t>Total CSR Adjustment:</t>
  </si>
  <si>
    <t>RM Price</t>
  </si>
  <si>
    <t>Total Revenue</t>
  </si>
  <si>
    <t>Linear</t>
  </si>
  <si>
    <t>Poly</t>
  </si>
  <si>
    <t>Note: Polynomial Curve was tested but the trendline equation overfits (see R^2 value on Demand Curve (Polynomial) the demand curve and produces an unreasonable RM price (price of the lowest bound). So Linear Curve is utilized for this project.</t>
  </si>
  <si>
    <t>Pivot Table Analysis Reveals Target Segment: Households with Children 5-12 Years Old with Physically Active Children, Busy Parents and Parents who Have Previously Purchased Educational Toys</t>
  </si>
  <si>
    <t>Givens</t>
  </si>
  <si>
    <t>Segmentation Variable</t>
  </si>
  <si>
    <t xml:space="preserve">Purchase Intent </t>
  </si>
  <si>
    <t>PI Adjustment</t>
  </si>
  <si>
    <t>Positioning Variable</t>
  </si>
  <si>
    <t>Tested Segmentation Variable That Was Not Used</t>
  </si>
  <si>
    <t>Prob Buy</t>
  </si>
  <si>
    <t>Segmentation Variable: Physically Active Children</t>
  </si>
  <si>
    <t>Segmentation Variable: Spends &lt;6 Active Hours (Physical Activity, Games, Coloring, etc)  With Children</t>
  </si>
  <si>
    <t>NOTE: Parents with "Physically Active Children" was an original variable on the Segmentation Tree. This Pivot Table analysis confirms that parents of children who are not physically active have a lower purchase intent that those who are, matching the original segmentation</t>
  </si>
  <si>
    <t xml:space="preserve">Likelihood of Purchase </t>
  </si>
  <si>
    <t xml:space="preserve">NOTE: The variable of spending "&lt;6 Active Hours per day with one's children" was tested to replace the orignial segmentation variable of believing in the value of first aid training because the Active Hours variable pivot table to the right revealed that parents who spend &lt;6 hours of Active Play are more likely to purchase the product than those who spend &gt;=6 hours. A BASES model was run, replacing the aforementioned orginial segmentation variable with this new one and  revenue increased, so the "Active Hours" Variable replaced the original segmentation variable. </t>
  </si>
  <si>
    <t>Definitely Buy</t>
  </si>
  <si>
    <t>Total Count of Likelihood of Purchase (All Likelihoods From Definitely Not Buy to Definitely Buy Included)</t>
  </si>
  <si>
    <t>Total Percent of Likelihood of Purchase</t>
  </si>
  <si>
    <t xml:space="preserve">Child's Physical Activity Level </t>
  </si>
  <si>
    <t>Count of Probably Buy</t>
  </si>
  <si>
    <t>Percent of Likelihood of Purchase</t>
  </si>
  <si>
    <t>Count of Definitely Buy</t>
  </si>
  <si>
    <t>Adjusted Prob Buy</t>
  </si>
  <si>
    <t>Adjusted Def Buy</t>
  </si>
  <si>
    <t>Total Adjusted PI</t>
  </si>
  <si>
    <t>Active Hours Spent With Child</t>
  </si>
  <si>
    <t>Never</t>
  </si>
  <si>
    <t>&lt;=1 hour</t>
  </si>
  <si>
    <t>1-3 Times Per Week</t>
  </si>
  <si>
    <t>2-3 hours</t>
  </si>
  <si>
    <t>4-6 Times Per Week</t>
  </si>
  <si>
    <t>4-5 hours</t>
  </si>
  <si>
    <t>7+ Times Per Week</t>
  </si>
  <si>
    <t>6-7 hours</t>
  </si>
  <si>
    <t>&gt;=8 hours</t>
  </si>
  <si>
    <t>LINK TO BASES MODEL</t>
  </si>
  <si>
    <t>Tested Segmentation Variable, But not used: Believes in the Effectiveness of Educational Toys</t>
  </si>
  <si>
    <t>Segmentation Variable: Kids Ages 5-12</t>
  </si>
  <si>
    <t>Note: This variable was tested to replace "Previously Purchased Educational Toys" Segmentation Variable because purchase intent of parents who believe educational toys are Very and Extremely Effective have a higher PI than parents who believe the toys are very and extremely effective. However it produced a lower revenue according to a BASES Model Run and was not used to replace the original segmentation variable.</t>
  </si>
  <si>
    <t>Note: The Kids 5-12 variable was tested to replace "Kids 6-11" Segmentation Variable because higher revenues were produced from the BASES Model (LINK). Although PI for respondents with children 5-16 was slightly higher (.51%), it is unreasonable to have a doll targeted at such a large age range. A 5 year old does not play with the same products a 16 year old does. So, segment size was only expanded to 5-12 year old children.</t>
  </si>
  <si>
    <t>Child's Age</t>
  </si>
  <si>
    <t>Do Not Have Kid 5-12</t>
  </si>
  <si>
    <t>Have Kid 5-12</t>
  </si>
  <si>
    <t>Total Count of Kid 5-12</t>
  </si>
  <si>
    <t>Total Count of Kid 5-12_2</t>
  </si>
  <si>
    <t>Effectiveness of Educational Toys</t>
  </si>
  <si>
    <t>Purchase Intent</t>
  </si>
  <si>
    <t>Count of Kid 5-12</t>
  </si>
  <si>
    <t>Count of Kid 5-12_2</t>
  </si>
  <si>
    <t>Very Ineffective</t>
  </si>
  <si>
    <t>Slightly Ineffective</t>
  </si>
  <si>
    <t>Prob Not Buy</t>
  </si>
  <si>
    <t>Moderately Effective</t>
  </si>
  <si>
    <t>Very Effective</t>
  </si>
  <si>
    <t>Extremely Effective</t>
  </si>
  <si>
    <t>Positioning Variable: Doll Must Be Slightly More Learning Oriented than Entertaining</t>
  </si>
  <si>
    <t>Do Not Have Kid 5-16</t>
  </si>
  <si>
    <t>Have Kid 5-16</t>
  </si>
  <si>
    <t>Total Count of Kid 5-16</t>
  </si>
  <si>
    <t>Total Count of Kid 5-16_2</t>
  </si>
  <si>
    <t xml:space="preserve">In order to capture both segments, our product must have a good mix of learning and entertaining and fun elements, with a slightly greater emphasis on learning.  </t>
  </si>
  <si>
    <t>Count of Kid 5-16</t>
  </si>
  <si>
    <t>Count of Kid 5-16_2</t>
  </si>
  <si>
    <t>Preference of Learning or Enterntainment in Toys</t>
  </si>
  <si>
    <t xml:space="preserve">Learning </t>
  </si>
  <si>
    <t>Entertainment</t>
  </si>
  <si>
    <t>Name of Product</t>
  </si>
  <si>
    <t xml:space="preserve">Before conducting the questionnaire, it was infered that parents who are less prepared would be more interested in seeking outside sources for first-aid education such as My First Aid Friend. However, this pivot table analysis reveals that the product must be positioned for parents who are familiar with first-aid as they have higher purchase intent than parents who are not familiar with first aid. </t>
  </si>
  <si>
    <t>Note: Only looking at those willing to pay our retail price of $85, the most popular name is "My First Aid Friend". Therefore the product name was switched from the original name of "Boo Boo Blake" to meet customer preference.</t>
  </si>
  <si>
    <t>Product Name</t>
  </si>
  <si>
    <t>Parents: "I have the skills to teach my child First Aid"</t>
  </si>
  <si>
    <t>Boo Boo Blake</t>
  </si>
  <si>
    <t>Strongly Disagree</t>
  </si>
  <si>
    <t>My First Aid Friend</t>
  </si>
  <si>
    <t>Disagree</t>
  </si>
  <si>
    <t>Heal Me Hannah</t>
  </si>
  <si>
    <t>Neutral</t>
  </si>
  <si>
    <t>First Aid Pal</t>
  </si>
  <si>
    <t>Agree</t>
  </si>
  <si>
    <t>Helping Hands Dolls</t>
  </si>
  <si>
    <t>Strongly Agree</t>
  </si>
  <si>
    <t>Other</t>
  </si>
  <si>
    <t>IMC Schedule</t>
  </si>
  <si>
    <t xml:space="preserve">Awareness </t>
  </si>
  <si>
    <t xml:space="preserve">Total Cost </t>
  </si>
  <si>
    <t xml:space="preserve">Changes </t>
  </si>
  <si>
    <t xml:space="preserve">1. Introduce flash mobs </t>
  </si>
  <si>
    <t>1. Bus ads remaining 4 times per year</t>
  </si>
  <si>
    <t>1. Added magazine ads (quarter page)
2. Remove flash mob to accomodate magazine costs
3. Bus ads increase from 4 to 5 times/year                         
4. Moving from nano and micro influencer to mid-tier and macro</t>
  </si>
  <si>
    <t>1. Introduce Inflatable dolls
2. Increase the number of cities from 4 to 5 for flash mobs 
3. Bus ads increase from 5 to 6 times/year</t>
  </si>
  <si>
    <t>1. Bus ads increase from 7 to 9 times/year
2. Increase 1 inflatable doll 
3. Increase the number of cities from 6 to 7 for flash mobs</t>
  </si>
  <si>
    <t>IMC PLAN: YEAR ONE</t>
  </si>
  <si>
    <t xml:space="preserve">IMC PLAN YEAR ONE </t>
  </si>
  <si>
    <t>YEAR 1 IMC SCHEDULE</t>
  </si>
  <si>
    <t>YEAR 2 IMC SCHEDULE</t>
  </si>
  <si>
    <t>JAN</t>
  </si>
  <si>
    <t>FEB</t>
  </si>
  <si>
    <t>MAR</t>
  </si>
  <si>
    <t>APR</t>
  </si>
  <si>
    <t>MAY</t>
  </si>
  <si>
    <t>JUN</t>
  </si>
  <si>
    <t>JUL</t>
  </si>
  <si>
    <t>AUG</t>
  </si>
  <si>
    <t>SEP</t>
  </si>
  <si>
    <t>OCT</t>
  </si>
  <si>
    <t>NOV</t>
  </si>
  <si>
    <t>DEC</t>
  </si>
  <si>
    <t>TOTAL COST</t>
  </si>
  <si>
    <t>CPM</t>
  </si>
  <si>
    <t>Awareness
Target Market 1</t>
  </si>
  <si>
    <t>PULL</t>
  </si>
  <si>
    <t>PAID MEDIA</t>
  </si>
  <si>
    <t xml:space="preserve">Fairs/Events </t>
  </si>
  <si>
    <t>New York - "American International Toy Fair”</t>
  </si>
  <si>
    <t>Georgia - "Toylanta"</t>
  </si>
  <si>
    <t>California -"Toyfest"</t>
  </si>
  <si>
    <t>Texas - "Toyfairdallas"</t>
  </si>
  <si>
    <t xml:space="preserve">Online Advertising </t>
  </si>
  <si>
    <t>Bus Ad, Exterior</t>
  </si>
  <si>
    <t>Seattle, WA</t>
  </si>
  <si>
    <t>San Jose, CA</t>
  </si>
  <si>
    <t>San Diego, CA</t>
  </si>
  <si>
    <t>Ann Arbor, MI</t>
  </si>
  <si>
    <t>Boulder, CO</t>
  </si>
  <si>
    <t>Washington D.C.</t>
  </si>
  <si>
    <t>Boston, MA</t>
  </si>
  <si>
    <t>Miami, FL</t>
  </si>
  <si>
    <t>New York, NY</t>
  </si>
  <si>
    <t>Austin, TX</t>
  </si>
  <si>
    <t>Guerrilla Marketing: Flashmob</t>
  </si>
  <si>
    <t>Influencer Marketing (Nano and Micro)</t>
  </si>
  <si>
    <t>@tiffaniteachey (2.4K)</t>
  </si>
  <si>
    <t>@letslearnaboutscience (10.8k)</t>
  </si>
  <si>
    <t>EARNED MEDIA</t>
  </si>
  <si>
    <t>Word of Mouth</t>
  </si>
  <si>
    <r>
      <t xml:space="preserve">Public Relations: </t>
    </r>
    <r>
      <rPr>
        <sz val="11"/>
        <color rgb="FF000000"/>
        <rFont val="Calibri"/>
        <family val="2"/>
        <scheme val="minor"/>
      </rPr>
      <t>Blogs</t>
    </r>
  </si>
  <si>
    <t>OWNED MEDIA</t>
  </si>
  <si>
    <t>Website and Social Media</t>
  </si>
  <si>
    <t>TOTAL PULL without Online Advertising</t>
  </si>
  <si>
    <t>TOTAL PULL</t>
  </si>
  <si>
    <t>PUSH</t>
  </si>
  <si>
    <t>Trade Shows</t>
  </si>
  <si>
    <t>Health and Wellness Expo - Mesa</t>
  </si>
  <si>
    <t>Playtime Trade Show - New York</t>
  </si>
  <si>
    <t>Trade Magazine Ads/Websites</t>
  </si>
  <si>
    <t>"The Toy Book"</t>
  </si>
  <si>
    <t>TOTAL PUSH</t>
  </si>
  <si>
    <t>TOTAL IMC SCHEDULE</t>
  </si>
  <si>
    <t>Y1 Revenue</t>
  </si>
  <si>
    <t>% of sales (Cost)</t>
  </si>
  <si>
    <t>IMC PLAN YEAR TWO</t>
  </si>
  <si>
    <t>Fairs/Events</t>
  </si>
  <si>
    <t>New York - "Toyfairny"</t>
  </si>
  <si>
    <t>Bus Exterior Ads</t>
  </si>
  <si>
    <t>Carryover</t>
  </si>
  <si>
    <t>TOTAL PULL WITHOUT ONLINE ADVERTISING</t>
  </si>
  <si>
    <t>The toy book</t>
  </si>
  <si>
    <t>Y2 Revenue</t>
  </si>
  <si>
    <t>IMC PLAN YEAR THREE</t>
  </si>
  <si>
    <t>YEAR 3 IMC SCHEDULE</t>
  </si>
  <si>
    <t xml:space="preserve">Magazine Ads </t>
  </si>
  <si>
    <t>Distributed to Local Parenting Magazines by the Parents Media Association</t>
  </si>
  <si>
    <t>CSR:Zaban Recreation Center (Atlanta)</t>
  </si>
  <si>
    <t>CSR: The Children's Center (Dallas)</t>
  </si>
  <si>
    <t>Influencer Marketing (Mid-Tier and Macro)</t>
  </si>
  <si>
    <t>@raisingdragons4 (340k)</t>
  </si>
  <si>
    <t>@rachelleswannie (167k)</t>
  </si>
  <si>
    <t>Total Pull Without Online Advertising</t>
  </si>
  <si>
    <t>Y3 Revenue</t>
  </si>
  <si>
    <t>IMC PLAN YEAR FOUR</t>
  </si>
  <si>
    <t>YEAR 4 IMC SCHEDULE</t>
  </si>
  <si>
    <t>Georgia - toylanta</t>
  </si>
  <si>
    <t>California - toyfest</t>
  </si>
  <si>
    <t>Dexas - toyfairdallas</t>
  </si>
  <si>
    <t>CSR: NYC Children's Center</t>
  </si>
  <si>
    <t>CSR: Rancho Santa Susana Community Center (Simi Valley Community Center)</t>
  </si>
  <si>
    <t>Guerrilla Marketing 2: Inflatable Doll</t>
  </si>
  <si>
    <t>Irvine, CA</t>
  </si>
  <si>
    <t>Portland, OR</t>
  </si>
  <si>
    <t>TOTAL Guerrilla Marketing</t>
  </si>
  <si>
    <r>
      <t xml:space="preserve">Public Relations: </t>
    </r>
    <r>
      <rPr>
        <sz val="14"/>
        <color rgb="FF000000"/>
        <rFont val="Calibri"/>
        <family val="2"/>
        <scheme val="minor"/>
      </rPr>
      <t>Blogs</t>
    </r>
  </si>
  <si>
    <t>TOTAL PULL WITHOUT ONLINE</t>
  </si>
  <si>
    <t>Y4 Revenue</t>
  </si>
  <si>
    <t>IMC PLAN YEAR FIVE</t>
  </si>
  <si>
    <t>YEAR 5 IMC SCHEDULE</t>
  </si>
  <si>
    <t>Magazine Ads</t>
  </si>
  <si>
    <t xml:space="preserve">  Boston, MA</t>
  </si>
  <si>
    <t xml:space="preserve">  Austin, TX</t>
  </si>
  <si>
    <t>TOTAL GUERRILLA MARKETING</t>
  </si>
  <si>
    <t>Y5 Revenue</t>
  </si>
  <si>
    <t>KEY</t>
  </si>
  <si>
    <t>Red Text</t>
  </si>
  <si>
    <t>Value Changed From Assumption</t>
  </si>
  <si>
    <t>ACV for Weighted Pricing</t>
  </si>
  <si>
    <t>Stores Entered</t>
  </si>
  <si>
    <t>Estimating Percentage of Channel Sales</t>
  </si>
  <si>
    <t>Percentage of Channel Sales Methodology</t>
  </si>
  <si>
    <t>ACV Channel Mix (%)</t>
  </si>
  <si>
    <t>% of YOUR sales from that channel</t>
  </si>
  <si>
    <t>Percent of  Total Sales</t>
  </si>
  <si>
    <t>Number of Nationwide Locations</t>
  </si>
  <si>
    <t>Rev (Secondary Research)</t>
  </si>
  <si>
    <t>Percentage of Channel Sales</t>
  </si>
  <si>
    <t>In order to determine percent of channel sales, revenues, number of locations or the number of Yelp reviews were used as a proxy to estimate which stores in each channel would sell the most units. Looking at Chains, for example, because Learning Express has the highest annual revenue and the most locations is in the US, the store was assigned to take an estimated 50% of all chain store sales in all the years we are selling in chains. Following the same methodology, Independent Stores were compared by number of Yelp reviews (a proxy for popularity) because there is no public data regarding their revenue available.</t>
  </si>
  <si>
    <t>% independent retailers</t>
  </si>
  <si>
    <t>% from Amazon</t>
  </si>
  <si>
    <t>Provided ACV</t>
  </si>
  <si>
    <t>Total Percent of Sales</t>
  </si>
  <si>
    <t>Mass Merchant</t>
  </si>
  <si>
    <t>Location</t>
  </si>
  <si>
    <t>Number of Yelp Reviews</t>
  </si>
  <si>
    <t xml:space="preserve"> Los Angeles, CA 90036</t>
  </si>
  <si>
    <t>Dallas, TX 75230</t>
  </si>
  <si>
    <t>% from Chains</t>
  </si>
  <si>
    <t>Toys That Teach</t>
  </si>
  <si>
    <t>Richmond, VA 23238</t>
  </si>
  <si>
    <t>% from Mass Merchants</t>
  </si>
  <si>
    <t>NOTE: A Retail Pricing Analysis revealed a lack of comparable products in independent retailers if the comparable product was carried in mass merchants. This indicated that mass merchants would be unwilling to carry our product once it enters mass merchants which is why the ACV Channel Mix (%) for Independent retailers is 0%.</t>
  </si>
  <si>
    <t>Outdoor/Bus (Y1)</t>
  </si>
  <si>
    <t>Outdoor/Bus(Y2)</t>
  </si>
  <si>
    <t>Outdoor/Bus(Y3)</t>
  </si>
  <si>
    <t>Outdoor/Bus(Y4)</t>
  </si>
  <si>
    <t>Outdoor/Bus(Y5)</t>
  </si>
  <si>
    <t>Awareness Calculations:</t>
  </si>
  <si>
    <t>Cost per Billboard</t>
  </si>
  <si>
    <t>Cities</t>
  </si>
  <si>
    <t>Ads per City</t>
  </si>
  <si>
    <t>Times per year</t>
  </si>
  <si>
    <t>Cost for all Billboards</t>
  </si>
  <si>
    <t>Cost for all bus ads</t>
  </si>
  <si>
    <t>Awareness per Thousand</t>
  </si>
  <si>
    <t>Total Awareness points</t>
  </si>
  <si>
    <t>Awareness Adjustment if &gt;2%</t>
  </si>
  <si>
    <t>Awareness Adjustment if &gt;4%</t>
  </si>
  <si>
    <t>Magazine (Y3)</t>
  </si>
  <si>
    <t>Magazine (Y4)</t>
  </si>
  <si>
    <t>Magazine (Y5)</t>
  </si>
  <si>
    <t>Awareness Calculations for "Parenting Media Association" Magazine:</t>
  </si>
  <si>
    <t>Cost Calculations</t>
  </si>
  <si>
    <t>CPM Calculations</t>
  </si>
  <si>
    <t>Total Circulation</t>
  </si>
  <si>
    <t>Number of 1/4 Page, Color Ad</t>
  </si>
  <si>
    <t>Total Cost of Quareter Page Ad</t>
  </si>
  <si>
    <t>Total Cost of Quarter Page Ad</t>
  </si>
  <si>
    <t>Number of Quarter Page, Color Ad</t>
  </si>
  <si>
    <t>Target Audience (%)</t>
  </si>
  <si>
    <t>Cost Per Ad</t>
  </si>
  <si>
    <t>Adjustment for Full Page Ad Price (%)</t>
  </si>
  <si>
    <t>Magazine Segmentation to Determine What Percent of PMA Readers are In Our Target Segment</t>
  </si>
  <si>
    <t>Target Circulation</t>
  </si>
  <si>
    <t>Total Cost of Magazine Ads</t>
  </si>
  <si>
    <t>Targeted Circulation</t>
  </si>
  <si>
    <t>Magazine: Parents that work outside of home</t>
  </si>
  <si>
    <t>Segmentation: Physically Active Kids</t>
  </si>
  <si>
    <t>Quarter Page, Color Ad Price</t>
  </si>
  <si>
    <t>Magazine: Readers older than 25</t>
  </si>
  <si>
    <t>Segmentation: Find Educational Toys Effective</t>
  </si>
  <si>
    <t>Full Page, Color Ad Price</t>
  </si>
  <si>
    <t>Magazine: Have children 6-11 (adjusted from children 5-12)</t>
  </si>
  <si>
    <t>Adjustment (%)</t>
  </si>
  <si>
    <t>Target Impressions</t>
  </si>
  <si>
    <t xml:space="preserve">Number of Ads </t>
  </si>
  <si>
    <t>Total Impressions</t>
  </si>
  <si>
    <t>Number of Ad Views</t>
  </si>
  <si>
    <t>Awareness (%)</t>
  </si>
  <si>
    <t>Awareness Adjustment if &gt;8%</t>
  </si>
  <si>
    <t>Online (Y1-Y5)</t>
  </si>
  <si>
    <t>Costs- Percentage of Total Pull Spending</t>
  </si>
  <si>
    <t>Guerilla Marketing 1 / Inflatable doll (Y4)</t>
  </si>
  <si>
    <t>Guerilla Marketing 1 / Inflatable doll (Y5)</t>
  </si>
  <si>
    <t>Cost for reservation</t>
  </si>
  <si>
    <t>Number of New Dolls</t>
  </si>
  <si>
    <t>Cost per doll</t>
  </si>
  <si>
    <t>Cost per new doll</t>
  </si>
  <si>
    <t>Maintenance per old doll</t>
  </si>
  <si>
    <t>Number of Dolls</t>
  </si>
  <si>
    <t>Number of Old Doll</t>
  </si>
  <si>
    <t>Cost for Permit/Reservation</t>
  </si>
  <si>
    <t>Cost for all inflatable dolls</t>
  </si>
  <si>
    <t>Total Dolls per City</t>
  </si>
  <si>
    <t>Guerilla Marketing 2 / Flash Mobs (Y1)</t>
  </si>
  <si>
    <t>Guerilla Marketing 2 / Flash Mobs (Y2)</t>
  </si>
  <si>
    <t>Guerilla Marketing 2 / Flash Mobs (Y4)</t>
  </si>
  <si>
    <t>Guerilla Marketing 2 / Flash Mobs (Y5)</t>
  </si>
  <si>
    <t>Cost Calculations:</t>
  </si>
  <si>
    <t xml:space="preserve">Flash Mobs Per City </t>
  </si>
  <si>
    <t xml:space="preserve">Flash MobsPer City </t>
  </si>
  <si>
    <t>Number of Cities</t>
  </si>
  <si>
    <t>Total Number of Flash Mobs</t>
  </si>
  <si>
    <t>One Video</t>
  </si>
  <si>
    <t>Cost Per Flashmob</t>
  </si>
  <si>
    <t>Total Cost of Flashmob</t>
  </si>
  <si>
    <t>Awareness Calculations</t>
  </si>
  <si>
    <t>Cost for all Flashmob</t>
  </si>
  <si>
    <t>Influencer (Y1-Y5)</t>
  </si>
  <si>
    <t>Spending Limit</t>
  </si>
  <si>
    <t>Influencer, Influencer Size</t>
  </si>
  <si>
    <t>Instagram: letslearnaboutscience, (10.8K)</t>
  </si>
  <si>
    <t>Instagram: tiffaniteachey, (2.4k)</t>
  </si>
  <si>
    <t>Instagram: raisingdragons, (340K)</t>
  </si>
  <si>
    <t>Instagram: rachelleswannie, (167K)</t>
  </si>
  <si>
    <t>CSR and Fairs and Events</t>
  </si>
  <si>
    <t>YEAR ONE</t>
  </si>
  <si>
    <t>Dates</t>
  </si>
  <si>
    <t>Travel Costs (per employee)</t>
  </si>
  <si>
    <t>Number of Employees</t>
  </si>
  <si>
    <t>Total Travel Costs</t>
  </si>
  <si>
    <t>Salary</t>
  </si>
  <si>
    <t>Training Costs</t>
  </si>
  <si>
    <t>Cost to Exhibit</t>
  </si>
  <si>
    <t>Unit Cost Per Doll</t>
  </si>
  <si>
    <t>Number of Dolls Giving Away</t>
  </si>
  <si>
    <t>Cost for Giveaways</t>
  </si>
  <si>
    <t>Cost for Table/Booth Decorations</t>
  </si>
  <si>
    <t>Cost for Shipping Materials</t>
  </si>
  <si>
    <t>2/19/2022-2/22/2022</t>
  </si>
  <si>
    <t>3/18/2022-3/20/2022</t>
  </si>
  <si>
    <t>Cost of four events, two times a year</t>
  </si>
  <si>
    <t>Total Events Costs</t>
  </si>
  <si>
    <t>YEAR TWO</t>
  </si>
  <si>
    <t>YEAR THREE</t>
  </si>
  <si>
    <t>CSR Foster Kid Event</t>
  </si>
  <si>
    <t>Zaban Recreation Center (Atlanta)</t>
  </si>
  <si>
    <t>The Children's Center (Dallas)</t>
  </si>
  <si>
    <t>YEAR Four</t>
  </si>
  <si>
    <t>NYC Children's Center</t>
  </si>
  <si>
    <t>Rancho Santa Susana Community Center (Simi Valley Community Center)</t>
  </si>
  <si>
    <t>YEAR FIVE</t>
  </si>
  <si>
    <t>Number of Events (at least 8)</t>
  </si>
  <si>
    <t>Total Regular Events Costs</t>
  </si>
  <si>
    <t>Max Awareness</t>
  </si>
  <si>
    <t>Usable Awareness</t>
  </si>
  <si>
    <t>Word Of Mouth</t>
  </si>
  <si>
    <t>Total Units (Estimate based on rough awareness)</t>
  </si>
  <si>
    <t xml:space="preserve">Public Relations </t>
  </si>
  <si>
    <t xml:space="preserve">Working Mother </t>
  </si>
  <si>
    <t>workingmother.com</t>
  </si>
  <si>
    <t xml:space="preserve">        Blog names </t>
  </si>
  <si>
    <t xml:space="preserve">Mommy On Purpose </t>
  </si>
  <si>
    <t>mommyonpurpose.com</t>
  </si>
  <si>
    <t xml:space="preserve">Savvy Sassy Moms </t>
  </si>
  <si>
    <t>savvysassymoms.com</t>
  </si>
  <si>
    <t>The Toy Guy</t>
  </si>
  <si>
    <t>https://www.thetoyguy.com/blog/</t>
  </si>
  <si>
    <t xml:space="preserve">Toy Design </t>
  </si>
  <si>
    <t>https://www.toy-design.com/</t>
  </si>
  <si>
    <t>Playopolis Toys</t>
  </si>
  <si>
    <t>https://www.playopolistoys.com/blog/</t>
  </si>
  <si>
    <t>the Toy Insider</t>
  </si>
  <si>
    <t>https://www.thetoyinsider.com/</t>
  </si>
  <si>
    <t>Toy whisperer</t>
  </si>
  <si>
    <t>https://toywhisperer.blog/</t>
  </si>
  <si>
    <t xml:space="preserve">        Total Cost</t>
  </si>
  <si>
    <t xml:space="preserve">Total Costs </t>
  </si>
  <si>
    <t>-</t>
  </si>
  <si>
    <t>Spending</t>
  </si>
  <si>
    <t xml:space="preserve">Year </t>
  </si>
  <si>
    <t>Survey Results</t>
  </si>
  <si>
    <t>BASES Models</t>
  </si>
  <si>
    <t>PI Before taking Any Variables Out</t>
  </si>
  <si>
    <t>Original Segmentation: HHs with income &gt;$35K, Kids 6-11, Physically Active Kids, Have Previously Purchased Educational Toys, parents who believe in value of first aid</t>
  </si>
  <si>
    <t>NOTE: Using Year 3 to compare changes in segment size and PI because segment size affects awareness of Magazines especially. Our advertisements enter magazines in Y3</t>
  </si>
  <si>
    <t>Price Willing to Pay</t>
  </si>
  <si>
    <t>Definitely Not Buy</t>
  </si>
  <si>
    <t>Not Sure</t>
  </si>
  <si>
    <t>Trial HHs</t>
  </si>
  <si>
    <t>Selling Price</t>
  </si>
  <si>
    <t>Trial Revenue ($)</t>
  </si>
  <si>
    <t>Repeats</t>
  </si>
  <si>
    <t>Price: $85</t>
  </si>
  <si>
    <t>Raw</t>
  </si>
  <si>
    <t>80/30 Adj</t>
  </si>
  <si>
    <t>PI</t>
  </si>
  <si>
    <t>Repeat %</t>
  </si>
  <si>
    <t>Repeat HHs</t>
  </si>
  <si>
    <t>Repeat Selling Price</t>
  </si>
  <si>
    <t>Repeat Revenue ($)</t>
  </si>
  <si>
    <t xml:space="preserve">PI After taking out High Number of Active Play Hours </t>
  </si>
  <si>
    <t>Replace parents who believe in value of first aid with Variable of Parents who spend &lt;6 or more hours in Active Play with Child</t>
  </si>
  <si>
    <t>Greater Revenue, Change the segmentation variable of "People who believe in the value of First Aid" with "Parents who spend &lt;6 or more hours in Active Play with their Child"</t>
  </si>
  <si>
    <t xml:space="preserve">PI After taking out parents who don't have children age 5-12  </t>
  </si>
  <si>
    <t>Replace Ages 6-11 to Ages 5-12</t>
  </si>
  <si>
    <t>Greater Revenue, replace the segmentation variable of "HHs 6-11" with "HHs with kids 5-12"</t>
  </si>
  <si>
    <t>Do Not Replace Previously Purchased Educational Toys with Believes in the Effectiveness of Educational Tyos</t>
  </si>
  <si>
    <t>PI After taking out Is indifferent or does not believe in effectiveness of educational toys</t>
  </si>
  <si>
    <t xml:space="preserve">Lesser Revenue, do not replace "Previously purchased educational toys" with "Believes in the effectivenes of educational toys" </t>
  </si>
  <si>
    <t>Baseline</t>
  </si>
  <si>
    <t>Senstivity</t>
  </si>
  <si>
    <t>Weighted Average Retail Price</t>
  </si>
  <si>
    <t>Multiply each year by 100% only because inconsistent growth rate</t>
  </si>
  <si>
    <t>Do  this Sensitivity On MK BASES Model</t>
  </si>
  <si>
    <t>Purchase Intent (PI)</t>
  </si>
  <si>
    <t>Distribution (ACV)</t>
  </si>
  <si>
    <t>% of units lost to competition</t>
  </si>
  <si>
    <t>Units Sold</t>
  </si>
  <si>
    <t>COGS (Marginal Cost)</t>
  </si>
  <si>
    <t>Cost of Raw Materials per unit</t>
  </si>
  <si>
    <t>Multiply each year by 100% only because inconsistent growht rate</t>
  </si>
  <si>
    <t>Remainder for all overhead costs</t>
  </si>
  <si>
    <t>Fixed Overhead Costs not covered elsewhere</t>
  </si>
  <si>
    <t>Net Profit as % of sales</t>
  </si>
  <si>
    <t xml:space="preserve">Includes 2 months rent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</si>
</sst>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_(* #,##0.0_);_(* \(#,##0.0\);_(* &quot;-&quot;??_);_(@_)"/>
    <numFmt numFmtId="166" formatCode="0.0"/>
    <numFmt numFmtId="167" formatCode="0.0%"/>
    <numFmt numFmtId="168" formatCode="#,##0.0"/>
    <numFmt numFmtId="169" formatCode="&quot;$&quot;#,##0"/>
    <numFmt numFmtId="170" formatCode="&quot;$&quot;#,##0.00"/>
    <numFmt numFmtId="171" formatCode="0.0000"/>
    <numFmt numFmtId="172" formatCode="0.000"/>
    <numFmt numFmtId="173" formatCode="#,##0;[Red]#,##0"/>
    <numFmt numFmtId="174" formatCode="_([$$-409]* #,##0.00_);_([$$-409]* \(#,##0.00\);_([$$-409]* &quot;-&quot;??_);_(@_)"/>
    <numFmt numFmtId="175" formatCode="0.000000"/>
    <numFmt numFmtId="176" formatCode="0.000%"/>
    <numFmt numFmtId="177" formatCode="_(&quot;$&quot;* #,##0_);_(&quot;$&quot;* \(#,##0\);_(&quot;$&quot;* &quot;-&quot;??_);_(@_)"/>
    <numFmt numFmtId="178" formatCode="0.00000000000000000"/>
    <numFmt numFmtId="179" formatCode="0_);\(0\)"/>
    <numFmt numFmtId="180" formatCode="_(* #,##0.000_);_(* \(#,##0.000\);_(* &quot;-&quot;??_);_(@_)"/>
    <numFmt numFmtId="181" formatCode="_([$$-409]* #,##0_);_([$$-409]* \(#,##0\);_([$$-409]* &quot;-&quot;??_);_(@_)"/>
    <numFmt numFmtId="182" formatCode="_(&quot;$&quot;* #,##0.000_);_(&quot;$&quot;* \(#,##0.000\);_(&quot;$&quot;* &quot;-&quot;??_);_(@_)"/>
    <numFmt numFmtId="183" formatCode="&quot;$&quot;#,##0.000"/>
    <numFmt numFmtId="184" formatCode="_(* #,##0.0000_);_(* \(#,##0.0000\);_(* &quot;-&quot;??_);_(@_)"/>
    <numFmt numFmtId="185" formatCode="0.00000%"/>
    <numFmt numFmtId="186" formatCode="_(&quot;$&quot;* #,##0.0_);_(&quot;$&quot;* \(#,##0.0\);_(&quot;$&quot;* &quot;-&quot;??_);_(@_)"/>
    <numFmt numFmtId="187" formatCode="&quot;$&quot;#,##0.0000"/>
    <numFmt numFmtId="188" formatCode="&quot;$&quot;#,##0.00000"/>
    <numFmt numFmtId="189" formatCode="0.00000"/>
    <numFmt numFmtId="190" formatCode="0.0000%"/>
    <numFmt numFmtId="191" formatCode="0.0000000%"/>
    <numFmt numFmtId="192" formatCode="&quot;$&quot;#,##0.0"/>
  </numFmts>
  <fonts count="123"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b/>
      <sz val="11"/>
      <color theme="0"/>
      <name val="Calibri"/>
      <family val="2"/>
      <scheme val="minor"/>
    </font>
    <font>
      <b/>
      <sz val="11"/>
      <color theme="1"/>
      <name val="Calibri"/>
      <family val="2"/>
      <scheme val="minor"/>
    </font>
    <font>
      <sz val="11"/>
      <color rgb="FF000000"/>
      <name val="Calibri"/>
      <family val="2"/>
      <scheme val="minor"/>
    </font>
    <font>
      <u/>
      <sz val="11"/>
      <color theme="10"/>
      <name val="Calibri"/>
      <family val="2"/>
      <scheme val="minor"/>
    </font>
    <font>
      <b/>
      <sz val="10"/>
      <color rgb="FF000000"/>
      <name val="Arial"/>
      <family val="2"/>
    </font>
    <font>
      <b/>
      <sz val="11"/>
      <color rgb="FFFFFFFF"/>
      <name val="Calibri"/>
      <family val="2"/>
      <scheme val="minor"/>
    </font>
    <font>
      <sz val="11"/>
      <color rgb="FFFFFFFF"/>
      <name val="Calibri"/>
      <family val="2"/>
      <scheme val="minor"/>
    </font>
    <font>
      <sz val="11"/>
      <color rgb="FF0000FF"/>
      <name val="Calibri"/>
      <family val="2"/>
      <scheme val="minor"/>
    </font>
    <font>
      <sz val="11"/>
      <color theme="1"/>
      <name val="Calibri"/>
      <family val="2"/>
      <scheme val="minor"/>
    </font>
    <font>
      <sz val="11"/>
      <color rgb="FFFF0000"/>
      <name val="Calibri"/>
      <family val="2"/>
      <scheme val="minor"/>
    </font>
    <font>
      <b/>
      <sz val="11"/>
      <color rgb="FF000000"/>
      <name val="Calibri"/>
      <family val="2"/>
      <scheme val="minor"/>
    </font>
    <font>
      <b/>
      <sz val="11"/>
      <color rgb="FFFF0000"/>
      <name val="Calibri"/>
      <family val="2"/>
      <scheme val="minor"/>
    </font>
    <font>
      <sz val="11"/>
      <color theme="0"/>
      <name val="Calibri"/>
      <family val="2"/>
      <scheme val="minor"/>
    </font>
    <font>
      <b/>
      <sz val="11"/>
      <color indexed="8"/>
      <name val="Calibri"/>
      <family val="2"/>
      <scheme val="minor"/>
    </font>
    <font>
      <sz val="11"/>
      <name val="Calibri"/>
      <family val="2"/>
      <scheme val="minor"/>
    </font>
    <font>
      <b/>
      <sz val="9"/>
      <color rgb="FF000000"/>
      <name val="Tahoma"/>
      <family val="2"/>
    </font>
    <font>
      <sz val="9"/>
      <color rgb="FF000000"/>
      <name val="Tahoma"/>
      <family val="2"/>
    </font>
    <font>
      <i/>
      <sz val="11"/>
      <color rgb="FF0000FF"/>
      <name val="Calibri"/>
      <family val="2"/>
      <scheme val="minor"/>
    </font>
    <font>
      <i/>
      <sz val="11"/>
      <color theme="1"/>
      <name val="Calibri"/>
      <family val="2"/>
      <scheme val="minor"/>
    </font>
    <font>
      <sz val="11"/>
      <color rgb="FFFF4D4F"/>
      <name val="Calibri"/>
      <family val="2"/>
      <scheme val="minor"/>
    </font>
    <font>
      <b/>
      <i/>
      <sz val="11"/>
      <color theme="1"/>
      <name val="Calibri"/>
      <family val="2"/>
      <scheme val="minor"/>
    </font>
    <font>
      <b/>
      <i/>
      <sz val="11"/>
      <color rgb="FF000000"/>
      <name val="Calibri"/>
      <family val="2"/>
      <scheme val="minor"/>
    </font>
    <font>
      <i/>
      <sz val="11"/>
      <color rgb="FF000000"/>
      <name val="Calibri"/>
      <family val="2"/>
      <scheme val="minor"/>
    </font>
    <font>
      <sz val="11"/>
      <color rgb="FFF2F2F2"/>
      <name val="Calibri"/>
      <family val="2"/>
      <scheme val="minor"/>
    </font>
    <font>
      <b/>
      <i/>
      <sz val="11"/>
      <name val="Calibri"/>
      <family val="2"/>
      <scheme val="minor"/>
    </font>
    <font>
      <i/>
      <sz val="11"/>
      <name val="Calibri"/>
      <family val="2"/>
      <scheme val="minor"/>
    </font>
    <font>
      <sz val="11"/>
      <color theme="5" tint="-0.249977111117893"/>
      <name val="Calibri"/>
      <family val="2"/>
      <scheme val="minor"/>
    </font>
    <font>
      <sz val="11"/>
      <color rgb="FFED7D31"/>
      <name val="Calibri"/>
      <family val="2"/>
      <scheme val="minor"/>
    </font>
    <font>
      <sz val="11"/>
      <color rgb="FF444444"/>
      <name val="Calibri"/>
      <family val="2"/>
      <scheme val="minor"/>
    </font>
    <font>
      <b/>
      <sz val="11"/>
      <name val="Calibri"/>
      <family val="2"/>
      <scheme val="minor"/>
    </font>
    <font>
      <u/>
      <sz val="11"/>
      <name val="Calibri"/>
      <family val="2"/>
      <scheme val="minor"/>
    </font>
    <font>
      <sz val="11"/>
      <color rgb="FF0006FF"/>
      <name val="Calibri"/>
      <family val="2"/>
      <scheme val="minor"/>
    </font>
    <font>
      <b/>
      <sz val="11"/>
      <color rgb="FF002060"/>
      <name val="Calibri"/>
      <family val="2"/>
      <scheme val="minor"/>
    </font>
    <font>
      <sz val="11"/>
      <color rgb="FF002060"/>
      <name val="Calibri"/>
      <family val="2"/>
      <scheme val="minor"/>
    </font>
    <font>
      <b/>
      <sz val="11"/>
      <color rgb="FF0006FF"/>
      <name val="Calibri"/>
      <family val="2"/>
      <scheme val="minor"/>
    </font>
    <font>
      <sz val="11"/>
      <color rgb="FF00B050"/>
      <name val="Calibri"/>
      <family val="2"/>
      <scheme val="minor"/>
    </font>
    <font>
      <u/>
      <sz val="11"/>
      <color indexed="12"/>
      <name val="Calibri"/>
      <family val="2"/>
      <scheme val="minor"/>
    </font>
    <font>
      <u/>
      <sz val="11"/>
      <color rgb="FF000000"/>
      <name val="Calibri"/>
      <family val="2"/>
      <scheme val="minor"/>
    </font>
    <font>
      <b/>
      <sz val="11"/>
      <color rgb="FF0000FF"/>
      <name val="Calibri"/>
      <family val="2"/>
      <scheme val="minor"/>
    </font>
    <font>
      <b/>
      <sz val="12"/>
      <color theme="1"/>
      <name val="Calibri"/>
      <family val="2"/>
      <scheme val="minor"/>
    </font>
    <font>
      <u/>
      <sz val="12"/>
      <color theme="1"/>
      <name val="Calibri (Body)"/>
    </font>
    <font>
      <u/>
      <sz val="12"/>
      <color theme="1"/>
      <name val="Calibri"/>
      <family val="2"/>
      <scheme val="minor"/>
    </font>
    <font>
      <u val="singleAccounting"/>
      <sz val="12"/>
      <color theme="1"/>
      <name val="Calibri"/>
      <family val="2"/>
      <scheme val="minor"/>
    </font>
    <font>
      <b/>
      <i/>
      <sz val="12"/>
      <color theme="1"/>
      <name val="Calibri"/>
      <family val="2"/>
      <scheme val="minor"/>
    </font>
    <font>
      <sz val="11"/>
      <color rgb="FF000000"/>
      <name val="Arial"/>
      <family val="2"/>
    </font>
    <font>
      <b/>
      <u/>
      <sz val="12"/>
      <color theme="1"/>
      <name val="Calibri"/>
      <family val="2"/>
      <scheme val="minor"/>
    </font>
    <font>
      <b/>
      <sz val="12"/>
      <color rgb="FF000000"/>
      <name val="Calibri"/>
      <family val="2"/>
      <scheme val="minor"/>
    </font>
    <font>
      <u val="singleAccounting"/>
      <sz val="12"/>
      <color rgb="FF000000"/>
      <name val="Calibri"/>
      <family val="2"/>
      <scheme val="minor"/>
    </font>
    <font>
      <i/>
      <sz val="12"/>
      <color theme="1"/>
      <name val="Calibri"/>
      <family val="2"/>
      <scheme val="minor"/>
    </font>
    <font>
      <sz val="14"/>
      <color theme="1"/>
      <name val="Times New Roman"/>
      <family val="1"/>
    </font>
    <font>
      <sz val="7"/>
      <color theme="1"/>
      <name val="Times New Roman"/>
      <family val="1"/>
    </font>
    <font>
      <sz val="14"/>
      <color theme="1"/>
      <name val="Calibri"/>
      <family val="2"/>
      <scheme val="minor"/>
    </font>
    <font>
      <b/>
      <sz val="16"/>
      <color theme="1"/>
      <name val="Calibri"/>
      <family val="2"/>
      <scheme val="minor"/>
    </font>
    <font>
      <b/>
      <sz val="14"/>
      <color theme="1"/>
      <name val="Calibri"/>
      <family val="2"/>
      <scheme val="minor"/>
    </font>
    <font>
      <b/>
      <sz val="20"/>
      <color theme="1"/>
      <name val="Calibri"/>
      <family val="2"/>
      <scheme val="minor"/>
    </font>
    <font>
      <vertAlign val="subscript"/>
      <sz val="12"/>
      <color theme="1"/>
      <name val="Calibri (Body)"/>
    </font>
    <font>
      <b/>
      <sz val="11"/>
      <color rgb="FF000000"/>
      <name val="Calibri"/>
      <family val="2"/>
    </font>
    <font>
      <sz val="11"/>
      <color rgb="FF000000"/>
      <name val="Calibri"/>
      <family val="2"/>
    </font>
    <font>
      <b/>
      <sz val="10"/>
      <name val="Arial"/>
      <family val="2"/>
    </font>
    <font>
      <sz val="12"/>
      <color rgb="FF000000"/>
      <name val="Calibri"/>
      <family val="2"/>
    </font>
    <font>
      <sz val="12"/>
      <color rgb="FFFFFFFF"/>
      <name val="Calibri"/>
      <family val="2"/>
    </font>
    <font>
      <sz val="11"/>
      <color rgb="FF444444"/>
      <name val="Calibri"/>
      <family val="2"/>
    </font>
    <font>
      <sz val="11"/>
      <color theme="4" tint="-0.499984740745262"/>
      <name val="Calibri"/>
      <family val="2"/>
    </font>
    <font>
      <b/>
      <sz val="10"/>
      <color rgb="FFFFFFFF"/>
      <name val="Arial"/>
      <family val="2"/>
    </font>
    <font>
      <b/>
      <sz val="14"/>
      <color rgb="FF000000"/>
      <name val="Calibri"/>
      <family val="2"/>
      <scheme val="minor"/>
    </font>
    <font>
      <sz val="24"/>
      <color rgb="FF004986"/>
      <name val="Arial"/>
      <family val="2"/>
    </font>
    <font>
      <b/>
      <sz val="12"/>
      <color rgb="FFFFFFFF"/>
      <name val="Calibri"/>
      <family val="2"/>
      <scheme val="minor"/>
    </font>
    <font>
      <sz val="14"/>
      <color theme="0"/>
      <name val="Calibri"/>
      <family val="2"/>
      <scheme val="minor"/>
    </font>
    <font>
      <b/>
      <sz val="14"/>
      <color theme="1"/>
      <name val="Calibri (Body)"/>
    </font>
    <font>
      <b/>
      <sz val="15"/>
      <color theme="3"/>
      <name val="Calibri"/>
      <family val="2"/>
      <scheme val="minor"/>
    </font>
    <font>
      <b/>
      <sz val="14"/>
      <color theme="0"/>
      <name val="Calibri"/>
      <family val="2"/>
      <scheme val="minor"/>
    </font>
    <font>
      <sz val="11"/>
      <color rgb="FFFFFFFF"/>
      <name val="Calibri"/>
      <family val="2"/>
    </font>
    <font>
      <sz val="14"/>
      <color rgb="FF000000"/>
      <name val="Calibri"/>
      <family val="2"/>
      <scheme val="minor"/>
    </font>
    <font>
      <b/>
      <sz val="12"/>
      <color theme="0"/>
      <name val="Calibri"/>
      <family val="2"/>
      <scheme val="minor"/>
    </font>
    <font>
      <b/>
      <sz val="13"/>
      <color theme="1"/>
      <name val="Calibri"/>
      <family val="2"/>
      <scheme val="minor"/>
    </font>
    <font>
      <b/>
      <sz val="18"/>
      <color theme="1"/>
      <name val="Calibri"/>
      <family val="2"/>
      <scheme val="minor"/>
    </font>
    <font>
      <sz val="11"/>
      <color indexed="8"/>
      <name val="Calibri"/>
      <family val="2"/>
      <scheme val="minor"/>
    </font>
    <font>
      <b/>
      <sz val="15"/>
      <color theme="0"/>
      <name val="Calibri"/>
      <family val="2"/>
      <scheme val="minor"/>
    </font>
    <font>
      <sz val="18"/>
      <color theme="1"/>
      <name val="Calibri"/>
      <family val="2"/>
      <scheme val="minor"/>
    </font>
    <font>
      <sz val="16"/>
      <color theme="1"/>
      <name val="Calibri"/>
      <family val="2"/>
      <scheme val="minor"/>
    </font>
    <font>
      <sz val="11"/>
      <color theme="1"/>
      <name val="Calibri (Body)"/>
    </font>
    <font>
      <sz val="9"/>
      <color theme="1"/>
      <name val="Arial"/>
      <family val="2"/>
    </font>
    <font>
      <b/>
      <sz val="10"/>
      <color rgb="FF002060"/>
      <name val="Arial"/>
      <family val="2"/>
    </font>
    <font>
      <b/>
      <sz val="15"/>
      <color rgb="FF44546A"/>
      <name val="Calibri"/>
      <family val="2"/>
      <scheme val="minor"/>
    </font>
    <font>
      <i/>
      <sz val="11"/>
      <color theme="0"/>
      <name val="Calibri"/>
      <family val="2"/>
      <scheme val="minor"/>
    </font>
    <font>
      <b/>
      <sz val="16"/>
      <name val="Times New Roman"/>
      <family val="1"/>
    </font>
    <font>
      <sz val="17"/>
      <color theme="1"/>
      <name val="Times New Roman"/>
      <family val="1"/>
    </font>
    <font>
      <b/>
      <sz val="17"/>
      <name val="Times New Roman"/>
      <family val="1"/>
    </font>
    <font>
      <sz val="18"/>
      <color rgb="FF000000"/>
      <name val="Times New Roman"/>
      <family val="1"/>
    </font>
    <font>
      <sz val="18"/>
      <color theme="1"/>
      <name val="Times New Roman"/>
      <family val="1"/>
    </font>
    <font>
      <sz val="18"/>
      <name val="Times New Roman"/>
      <family val="1"/>
    </font>
    <font>
      <sz val="16"/>
      <color theme="1"/>
      <name val="Times New Roman"/>
      <family val="1"/>
    </font>
    <font>
      <b/>
      <sz val="16"/>
      <color theme="1"/>
      <name val="Times New Roman"/>
      <family val="1"/>
    </font>
    <font>
      <sz val="15"/>
      <color theme="1"/>
      <name val="Times New Roman"/>
      <family val="1"/>
    </font>
    <font>
      <b/>
      <sz val="18"/>
      <color rgb="FF000000"/>
      <name val="Calibri"/>
      <family val="2"/>
    </font>
    <font>
      <sz val="11"/>
      <color rgb="FF000000"/>
      <name val="Calibri (Body)"/>
    </font>
    <font>
      <b/>
      <i/>
      <sz val="14"/>
      <color theme="1"/>
      <name val="Calibri"/>
      <family val="2"/>
      <scheme val="minor"/>
    </font>
    <font>
      <b/>
      <i/>
      <sz val="14"/>
      <color rgb="FF000000"/>
      <name val="Calibri"/>
      <family val="2"/>
      <scheme val="minor"/>
    </font>
    <font>
      <b/>
      <sz val="16"/>
      <color theme="1"/>
      <name val="Calibri (Body)"/>
    </font>
    <font>
      <sz val="14"/>
      <name val="Calibri"/>
      <family val="2"/>
      <scheme val="minor"/>
    </font>
    <font>
      <b/>
      <sz val="14"/>
      <color rgb="FFFFFFFF"/>
      <name val="Calibri"/>
      <family val="2"/>
      <scheme val="minor"/>
    </font>
    <font>
      <sz val="14"/>
      <color theme="5" tint="-0.249977111117893"/>
      <name val="Calibri"/>
      <family val="2"/>
      <scheme val="minor"/>
    </font>
    <font>
      <sz val="14"/>
      <color rgb="FFED7D31"/>
      <name val="Calibri"/>
      <family val="2"/>
      <scheme val="minor"/>
    </font>
    <font>
      <sz val="12"/>
      <color theme="0"/>
      <name val="Calibri (Body)"/>
    </font>
    <font>
      <sz val="11"/>
      <color theme="0"/>
      <name val="Calibri (Body)"/>
    </font>
    <font>
      <sz val="12"/>
      <color theme="1"/>
      <name val="Calibri (Body)"/>
    </font>
    <font>
      <u/>
      <sz val="12"/>
      <color theme="10"/>
      <name val="Calibri (Body)"/>
    </font>
    <font>
      <b/>
      <sz val="9"/>
      <color theme="1"/>
      <name val="Arial"/>
      <family val="2"/>
    </font>
    <font>
      <u/>
      <sz val="9"/>
      <color theme="10"/>
      <name val="Calibri"/>
      <family val="2"/>
      <scheme val="minor"/>
    </font>
    <font>
      <b/>
      <sz val="13"/>
      <color theme="0"/>
      <name val="Calibri"/>
      <family val="2"/>
      <scheme val="minor"/>
    </font>
    <font>
      <b/>
      <sz val="10"/>
      <color theme="0"/>
      <name val="Arial"/>
      <family val="2"/>
    </font>
    <font>
      <sz val="9"/>
      <color indexed="81"/>
      <name val="Tahoma"/>
      <family val="2"/>
    </font>
    <font>
      <b/>
      <sz val="9"/>
      <color indexed="81"/>
      <name val="Tahoma"/>
      <family val="2"/>
    </font>
    <font>
      <sz val="20"/>
      <color rgb="FF003B69"/>
      <name val="Arial"/>
      <family val="2"/>
    </font>
  </fonts>
  <fills count="66">
    <fill>
      <patternFill patternType="none"/>
    </fill>
    <fill>
      <patternFill patternType="gray125"/>
    </fill>
    <fill>
      <patternFill patternType="solid">
        <fgColor theme="2"/>
        <bgColor indexed="64"/>
      </patternFill>
    </fill>
    <fill>
      <patternFill patternType="lightDown"/>
    </fill>
    <fill>
      <patternFill patternType="solid">
        <fgColor rgb="FF002060"/>
        <bgColor rgb="FF000000"/>
      </patternFill>
    </fill>
    <fill>
      <patternFill patternType="solid">
        <fgColor rgb="FF002060"/>
        <bgColor indexed="64"/>
      </patternFill>
    </fill>
    <fill>
      <patternFill patternType="solid">
        <fgColor rgb="FFFFFF00"/>
        <bgColor indexed="64"/>
      </patternFill>
    </fill>
    <fill>
      <patternFill patternType="solid">
        <fgColor rgb="FFFFE699"/>
        <bgColor indexed="64"/>
      </patternFill>
    </fill>
    <fill>
      <patternFill patternType="solid">
        <fgColor rgb="FFD9E1F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D966"/>
        <bgColor rgb="FF000000"/>
      </patternFill>
    </fill>
    <fill>
      <patternFill patternType="solid">
        <fgColor rgb="FFFFFFFF"/>
        <bgColor indexed="64"/>
      </patternFill>
    </fill>
    <fill>
      <patternFill patternType="solid">
        <fgColor rgb="FFFFF2CC"/>
        <bgColor indexed="64"/>
      </patternFill>
    </fill>
    <fill>
      <patternFill patternType="solid">
        <fgColor rgb="FFFCE4D6"/>
        <bgColor rgb="FF000000"/>
      </patternFill>
    </fill>
    <fill>
      <patternFill patternType="solid">
        <fgColor rgb="FFFCE4D6"/>
        <bgColor indexed="64"/>
      </patternFill>
    </fill>
    <fill>
      <patternFill patternType="solid">
        <fgColor theme="5" tint="0.79998168889431442"/>
        <bgColor indexed="64"/>
      </patternFill>
    </fill>
    <fill>
      <patternFill patternType="solid">
        <fgColor theme="0"/>
        <bgColor indexed="64"/>
      </patternFill>
    </fill>
    <fill>
      <patternFill patternType="solid">
        <fgColor theme="5" tint="0.79998168889431442"/>
        <bgColor rgb="FF000000"/>
      </patternFill>
    </fill>
    <fill>
      <patternFill patternType="solid">
        <fgColor theme="7" tint="0.79998168889431442"/>
        <bgColor indexed="64"/>
      </patternFill>
    </fill>
    <fill>
      <patternFill patternType="solid">
        <fgColor theme="7" tint="0.79998168889431442"/>
        <bgColor rgb="FF000000"/>
      </patternFill>
    </fill>
    <fill>
      <patternFill patternType="solid">
        <fgColor theme="5" tint="0.39997558519241921"/>
        <bgColor indexed="64"/>
      </patternFill>
    </fill>
    <fill>
      <patternFill patternType="solid">
        <fgColor theme="7" tint="0.59999389629810485"/>
        <bgColor indexed="64"/>
      </patternFill>
    </fill>
    <fill>
      <patternFill patternType="solid">
        <fgColor rgb="FFF4B084"/>
        <bgColor rgb="FF000000"/>
      </patternFill>
    </fill>
    <fill>
      <patternFill patternType="solid">
        <fgColor theme="7" tint="0.39997558519241921"/>
        <bgColor indexed="64"/>
      </patternFill>
    </fill>
    <fill>
      <patternFill patternType="solid">
        <fgColor rgb="FF00B0F0"/>
        <bgColor indexed="64"/>
      </patternFill>
    </fill>
    <fill>
      <patternFill patternType="solid">
        <fgColor rgb="FFFFF2CC"/>
        <bgColor rgb="FF000000"/>
      </patternFill>
    </fill>
    <fill>
      <patternFill patternType="solid">
        <fgColor theme="7" tint="-0.249977111117893"/>
        <bgColor indexed="64"/>
      </patternFill>
    </fill>
    <fill>
      <patternFill patternType="solid">
        <fgColor rgb="FF8EA9DB"/>
        <bgColor indexed="64"/>
      </patternFill>
    </fill>
    <fill>
      <patternFill patternType="solid">
        <fgColor theme="5" tint="0.59999389629810485"/>
        <bgColor indexed="64"/>
      </patternFill>
    </fill>
    <fill>
      <patternFill patternType="solid">
        <fgColor rgb="FFED7D31"/>
        <bgColor indexed="64"/>
      </patternFill>
    </fill>
    <fill>
      <patternFill patternType="solid">
        <fgColor theme="5"/>
        <bgColor indexed="64"/>
      </patternFill>
    </fill>
    <fill>
      <patternFill patternType="solid">
        <fgColor theme="5" tint="-0.249977111117893"/>
        <bgColor indexed="64"/>
      </patternFill>
    </fill>
    <fill>
      <patternFill patternType="solid">
        <fgColor rgb="FFF8CBAD"/>
        <bgColor indexed="64"/>
      </patternFill>
    </fill>
    <fill>
      <patternFill patternType="solid">
        <fgColor rgb="FFDDEBF7"/>
        <bgColor indexed="64"/>
      </patternFill>
    </fill>
    <fill>
      <patternFill patternType="solid">
        <fgColor rgb="FFE2EFDA"/>
        <bgColor indexed="64"/>
      </patternFill>
    </fill>
    <fill>
      <patternFill patternType="solid">
        <fgColor theme="4" tint="0.79998168889431442"/>
        <bgColor indexed="64"/>
      </patternFill>
    </fill>
    <fill>
      <patternFill patternType="solid">
        <fgColor rgb="FFB4C6E7"/>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D0CECE"/>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1"/>
        <bgColor indexed="64"/>
      </patternFill>
    </fill>
    <fill>
      <patternFill patternType="solid">
        <fgColor theme="4" tint="0.79998168889431442"/>
        <bgColor theme="4" tint="0.79998168889431442"/>
      </patternFill>
    </fill>
    <fill>
      <patternFill patternType="solid">
        <fgColor indexed="22"/>
        <bgColor indexed="64"/>
      </patternFill>
    </fill>
    <fill>
      <patternFill patternType="solid">
        <fgColor theme="0" tint="-0.249977111117893"/>
        <bgColor indexed="64"/>
      </patternFill>
    </fill>
    <fill>
      <patternFill patternType="solid">
        <fgColor rgb="FF7030A0"/>
        <bgColor indexed="64"/>
      </patternFill>
    </fill>
    <fill>
      <patternFill patternType="solid">
        <fgColor theme="4" tint="0.59999389629810485"/>
        <bgColor indexed="64"/>
      </patternFill>
    </fill>
    <fill>
      <patternFill patternType="solid">
        <fgColor rgb="FFFFFF00"/>
        <bgColor rgb="FF000000"/>
      </patternFill>
    </fill>
    <fill>
      <patternFill patternType="lightDown">
        <fgColor rgb="FF000000"/>
      </patternFill>
    </fill>
    <fill>
      <patternFill patternType="solid">
        <fgColor rgb="FFD9D9D9"/>
        <bgColor rgb="FF000000"/>
      </patternFill>
    </fill>
    <fill>
      <patternFill patternType="solid">
        <fgColor rgb="FFFFC000"/>
        <bgColor indexed="64"/>
      </patternFill>
    </fill>
    <fill>
      <patternFill patternType="solid">
        <fgColor rgb="FFE2EFDA"/>
        <bgColor rgb="FF000000"/>
      </patternFill>
    </fill>
    <fill>
      <patternFill patternType="solid">
        <fgColor rgb="FFBFBFBF"/>
        <bgColor indexed="64"/>
      </patternFill>
    </fill>
    <fill>
      <patternFill patternType="solid">
        <fgColor theme="4" tint="0.79998168889431442"/>
        <bgColor rgb="FF000000"/>
      </patternFill>
    </fill>
    <fill>
      <patternFill patternType="solid">
        <fgColor rgb="FFFFFF05"/>
        <bgColor indexed="64"/>
      </patternFill>
    </fill>
    <fill>
      <patternFill patternType="solid">
        <fgColor rgb="FFFFE79A"/>
        <bgColor indexed="64"/>
      </patternFill>
    </fill>
    <fill>
      <patternFill patternType="solid">
        <fgColor rgb="FF001F60"/>
        <bgColor indexed="64"/>
      </patternFill>
    </fill>
    <fill>
      <patternFill patternType="solid">
        <fgColor rgb="FFDAE2F2"/>
        <bgColor indexed="64"/>
      </patternFill>
    </fill>
    <fill>
      <patternFill patternType="solid">
        <fgColor rgb="FF00B050"/>
        <bgColor indexed="64"/>
      </patternFill>
    </fill>
    <fill>
      <patternFill patternType="solid">
        <fgColor rgb="FFFF0000"/>
        <bgColor indexed="64"/>
      </patternFill>
    </fill>
    <fill>
      <patternFill patternType="solid">
        <fgColor rgb="FF002060"/>
        <bgColor theme="4"/>
      </patternFill>
    </fill>
    <fill>
      <patternFill patternType="solid">
        <fgColor rgb="FF002060"/>
        <bgColor rgb="FFD9E1F2"/>
      </patternFill>
    </fill>
    <fill>
      <patternFill patternType="solid">
        <fgColor rgb="FF002060"/>
        <bgColor rgb="FF4472C4"/>
      </patternFill>
    </fill>
  </fills>
  <borders count="149">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right style="thin">
        <color indexed="64"/>
      </right>
      <top/>
      <bottom style="thin">
        <color rgb="FF000000"/>
      </bottom>
      <diagonal/>
    </border>
    <border>
      <left style="thin">
        <color rgb="FF000000"/>
      </left>
      <right style="thin">
        <color indexed="64"/>
      </right>
      <top/>
      <bottom style="thin">
        <color indexed="64"/>
      </bottom>
      <diagonal/>
    </border>
    <border>
      <left style="thin">
        <color rgb="FF000000"/>
      </left>
      <right style="thin">
        <color indexed="64"/>
      </right>
      <top/>
      <bottom/>
      <diagonal/>
    </border>
    <border>
      <left/>
      <right style="thin">
        <color indexed="64"/>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indexed="64"/>
      </right>
      <top/>
      <bottom style="medium">
        <color auto="1"/>
      </bottom>
      <diagonal/>
    </border>
    <border>
      <left/>
      <right style="thin">
        <color indexed="64"/>
      </right>
      <top/>
      <bottom style="medium">
        <color theme="1"/>
      </bottom>
      <diagonal/>
    </border>
    <border>
      <left style="thin">
        <color indexed="64"/>
      </left>
      <right/>
      <top/>
      <bottom style="medium">
        <color theme="1"/>
      </bottom>
      <diagonal/>
    </border>
    <border>
      <left/>
      <right/>
      <top/>
      <bottom style="medium">
        <color theme="1"/>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auto="1"/>
      </top>
      <bottom/>
      <diagonal/>
    </border>
    <border>
      <left/>
      <right style="thin">
        <color indexed="64"/>
      </right>
      <top style="medium">
        <color indexed="64"/>
      </top>
      <bottom/>
      <diagonal/>
    </border>
    <border>
      <left/>
      <right style="thin">
        <color rgb="FF000000"/>
      </right>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medium">
        <color rgb="FF000000"/>
      </bottom>
      <diagonal/>
    </border>
    <border>
      <left/>
      <right style="thin">
        <color indexed="64"/>
      </right>
      <top/>
      <bottom style="medium">
        <color rgb="FF000000"/>
      </bottom>
      <diagonal/>
    </border>
    <border>
      <left style="thin">
        <color rgb="FF000000"/>
      </left>
      <right style="thin">
        <color rgb="FF000000"/>
      </right>
      <top style="thin">
        <color rgb="FF000000"/>
      </top>
      <bottom style="thin">
        <color rgb="FF000000"/>
      </bottom>
      <diagonal/>
    </border>
    <border>
      <left/>
      <right/>
      <top style="medium">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indexed="64"/>
      </top>
      <bottom style="medium">
        <color indexed="64"/>
      </bottom>
      <diagonal/>
    </border>
    <border>
      <left style="thin">
        <color indexed="64"/>
      </left>
      <right/>
      <top style="thin">
        <color rgb="FF000000"/>
      </top>
      <bottom style="thin">
        <color indexed="64"/>
      </bottom>
      <diagonal/>
    </border>
    <border>
      <left style="thin">
        <color indexed="64"/>
      </left>
      <right style="thin">
        <color indexed="64"/>
      </right>
      <top/>
      <bottom style="thin">
        <color indexed="64"/>
      </bottom>
      <diagonal/>
    </border>
    <border>
      <left style="medium">
        <color rgb="FF000000"/>
      </left>
      <right/>
      <top style="medium">
        <color rgb="FF000000"/>
      </top>
      <bottom style="medium">
        <color indexed="64"/>
      </bottom>
      <diagonal/>
    </border>
    <border>
      <left/>
      <right style="medium">
        <color indexed="64"/>
      </right>
      <top style="medium">
        <color rgb="FF000000"/>
      </top>
      <bottom style="medium">
        <color indexed="64"/>
      </bottom>
      <diagonal/>
    </border>
    <border>
      <left/>
      <right/>
      <top style="medium">
        <color rgb="FF000000"/>
      </top>
      <bottom style="medium">
        <color indexed="64"/>
      </bottom>
      <diagonal/>
    </border>
    <border>
      <left style="medium">
        <color rgb="FF000000"/>
      </left>
      <right/>
      <top style="medium">
        <color indexed="64"/>
      </top>
      <bottom/>
      <diagonal/>
    </border>
    <border>
      <left style="medium">
        <color indexed="64"/>
      </left>
      <right style="medium">
        <color rgb="FF000000"/>
      </right>
      <top/>
      <bottom/>
      <diagonal/>
    </border>
    <border>
      <left style="medium">
        <color rgb="FF000000"/>
      </left>
      <right/>
      <top/>
      <bottom style="medium">
        <color indexed="64"/>
      </bottom>
      <diagonal/>
    </border>
    <border>
      <left/>
      <right style="medium">
        <color indexed="64"/>
      </right>
      <top style="medium">
        <color indexed="64"/>
      </top>
      <bottom style="medium">
        <color rgb="FF000000"/>
      </bottom>
      <diagonal/>
    </border>
    <border>
      <left/>
      <right style="medium">
        <color indexed="64"/>
      </right>
      <top/>
      <bottom style="medium">
        <color rgb="FF000000"/>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bottom style="medium">
        <color indexed="64"/>
      </bottom>
      <diagonal/>
    </border>
    <border>
      <left style="medium">
        <color indexed="64"/>
      </left>
      <right style="medium">
        <color indexed="64"/>
      </right>
      <top style="medium">
        <color indexed="64"/>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thick">
        <color theme="4"/>
      </bottom>
      <diagonal/>
    </border>
    <border>
      <left style="thin">
        <color rgb="FF000000"/>
      </left>
      <right/>
      <top style="thin">
        <color rgb="FF000000"/>
      </top>
      <bottom style="thin">
        <color rgb="FF000000"/>
      </bottom>
      <diagonal/>
    </border>
    <border>
      <left/>
      <right/>
      <top style="medium">
        <color rgb="FF305496"/>
      </top>
      <bottom/>
      <diagonal/>
    </border>
    <border>
      <left/>
      <right/>
      <top/>
      <bottom style="thin">
        <color rgb="FF8EA9DB"/>
      </bottom>
      <diagonal/>
    </border>
    <border>
      <left/>
      <right/>
      <top style="thin">
        <color rgb="FF305496"/>
      </top>
      <bottom style="medium">
        <color rgb="FF305496"/>
      </bottom>
      <diagonal/>
    </border>
    <border>
      <left style="thick">
        <color rgb="FF000000"/>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style="thick">
        <color rgb="FF000000"/>
      </right>
      <top/>
      <bottom style="thick">
        <color rgb="FF000000"/>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rgb="FF000000"/>
      </right>
      <top style="medium">
        <color rgb="FF000000"/>
      </top>
      <bottom style="medium">
        <color indexed="64"/>
      </bottom>
      <diagonal/>
    </border>
    <border>
      <left/>
      <right/>
      <top style="medium">
        <color rgb="FF000000"/>
      </top>
      <bottom style="medium">
        <color rgb="FF000000"/>
      </bottom>
      <diagonal/>
    </border>
    <border>
      <left style="medium">
        <color rgb="FF000000"/>
      </left>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medium">
        <color indexed="64"/>
      </left>
      <right/>
      <top style="medium">
        <color indexed="64"/>
      </top>
      <bottom style="medium">
        <color rgb="FF000000"/>
      </bottom>
      <diagonal/>
    </border>
    <border>
      <left/>
      <right/>
      <top style="thin">
        <color indexed="64"/>
      </top>
      <bottom style="double">
        <color indexed="64"/>
      </bottom>
      <diagonal/>
    </border>
    <border>
      <left/>
      <right/>
      <top style="thin">
        <color theme="0"/>
      </top>
      <bottom/>
      <diagonal/>
    </border>
    <border>
      <left/>
      <right/>
      <top/>
      <bottom style="thin">
        <color theme="0"/>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style="medium">
        <color indexed="64"/>
      </top>
      <bottom style="medium">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top style="thin">
        <color theme="0"/>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thin">
        <color indexed="64"/>
      </left>
      <right style="thin">
        <color indexed="64"/>
      </right>
      <top style="thin">
        <color theme="1"/>
      </top>
      <bottom/>
      <diagonal/>
    </border>
    <border>
      <left style="thin">
        <color theme="1"/>
      </left>
      <right/>
      <top style="thin">
        <color indexed="64"/>
      </top>
      <bottom/>
      <diagonal/>
    </border>
    <border>
      <left style="thin">
        <color theme="1"/>
      </left>
      <right/>
      <top/>
      <bottom style="thin">
        <color indexed="64"/>
      </bottom>
      <diagonal/>
    </border>
    <border>
      <left style="thin">
        <color indexed="64"/>
      </left>
      <right/>
      <top style="thin">
        <color theme="1"/>
      </top>
      <bottom/>
      <diagonal/>
    </border>
  </borders>
  <cellStyleXfs count="20">
    <xf numFmtId="0" fontId="0" fillId="0" borderId="0"/>
    <xf numFmtId="0" fontId="6" fillId="0" borderId="0"/>
    <xf numFmtId="0" fontId="8" fillId="0" borderId="0" applyNumberFormat="0" applyFill="0" applyBorder="0" applyAlignment="0" applyProtection="0">
      <alignment vertical="top"/>
      <protection locked="0"/>
    </xf>
    <xf numFmtId="43" fontId="7" fillId="0" borderId="0" applyFont="0" applyFill="0" applyBorder="0" applyAlignment="0" applyProtection="0"/>
    <xf numFmtId="9" fontId="7" fillId="0" borderId="0" applyFont="0" applyFill="0" applyBorder="0" applyAlignment="0" applyProtection="0"/>
    <xf numFmtId="0" fontId="7" fillId="0" borderId="0"/>
    <xf numFmtId="0" fontId="12" fillId="0" borderId="0" applyNumberForma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3" fillId="0" borderId="0"/>
    <xf numFmtId="44" fontId="3" fillId="0" borderId="0" applyFont="0" applyFill="0" applyBorder="0" applyAlignment="0" applyProtection="0"/>
    <xf numFmtId="0" fontId="2" fillId="0" borderId="0"/>
    <xf numFmtId="44" fontId="2" fillId="0" borderId="0" applyFont="0" applyFill="0" applyBorder="0" applyAlignment="0" applyProtection="0"/>
    <xf numFmtId="0" fontId="78" fillId="0" borderId="98" applyNumberFormat="0" applyFill="0" applyAlignment="0" applyProtection="0"/>
  </cellStyleXfs>
  <cellXfs count="1877">
    <xf numFmtId="0" fontId="0" fillId="0" borderId="0" xfId="0"/>
    <xf numFmtId="165" fontId="0" fillId="0" borderId="0" xfId="3" applyNumberFormat="1" applyFont="1"/>
    <xf numFmtId="164" fontId="0" fillId="0" borderId="0" xfId="3" applyNumberFormat="1" applyFont="1"/>
    <xf numFmtId="0" fontId="11" fillId="0" borderId="0" xfId="0" applyFont="1"/>
    <xf numFmtId="0" fontId="9" fillId="5" borderId="0" xfId="0" applyFont="1" applyFill="1"/>
    <xf numFmtId="0" fontId="10" fillId="0" borderId="0" xfId="0" applyFont="1"/>
    <xf numFmtId="0" fontId="14" fillId="0" borderId="0" xfId="0" applyFont="1" applyAlignment="1">
      <alignment horizontal="center"/>
    </xf>
    <xf numFmtId="0" fontId="15" fillId="0" borderId="0" xfId="0" applyFont="1" applyAlignment="1">
      <alignment horizontal="center"/>
    </xf>
    <xf numFmtId="170" fontId="16" fillId="0" borderId="0" xfId="0" applyNumberFormat="1" applyFont="1"/>
    <xf numFmtId="0" fontId="16" fillId="0" borderId="0" xfId="0" applyFont="1"/>
    <xf numFmtId="0" fontId="11" fillId="0" borderId="0" xfId="0" applyFont="1" applyAlignment="1">
      <alignment horizontal="center" vertical="center"/>
    </xf>
    <xf numFmtId="2" fontId="11" fillId="0" borderId="0" xfId="0" applyNumberFormat="1" applyFont="1"/>
    <xf numFmtId="1" fontId="11" fillId="0" borderId="0" xfId="0" applyNumberFormat="1" applyFont="1"/>
    <xf numFmtId="0" fontId="15" fillId="0" borderId="0" xfId="0" applyFont="1"/>
    <xf numFmtId="8" fontId="16" fillId="0" borderId="0" xfId="0" applyNumberFormat="1" applyFont="1"/>
    <xf numFmtId="44" fontId="0" fillId="0" borderId="2" xfId="9" applyFont="1" applyBorder="1"/>
    <xf numFmtId="10" fontId="0" fillId="0" borderId="31" xfId="10" applyNumberFormat="1" applyFont="1" applyBorder="1"/>
    <xf numFmtId="44" fontId="0" fillId="0" borderId="0" xfId="9" applyFont="1" applyBorder="1"/>
    <xf numFmtId="164" fontId="0" fillId="0" borderId="0" xfId="11" applyNumberFormat="1" applyFont="1" applyFill="1" applyBorder="1"/>
    <xf numFmtId="10" fontId="0" fillId="0" borderId="0" xfId="10" applyNumberFormat="1" applyFont="1"/>
    <xf numFmtId="44" fontId="0" fillId="0" borderId="0" xfId="9" applyFont="1"/>
    <xf numFmtId="0" fontId="18" fillId="0" borderId="0" xfId="0" applyFont="1"/>
    <xf numFmtId="164" fontId="0" fillId="0" borderId="0" xfId="11" applyNumberFormat="1" applyFont="1" applyBorder="1"/>
    <xf numFmtId="176" fontId="0" fillId="0" borderId="0" xfId="10" applyNumberFormat="1" applyFont="1" applyFill="1" applyBorder="1"/>
    <xf numFmtId="0" fontId="23" fillId="0" borderId="0" xfId="0" applyFont="1"/>
    <xf numFmtId="10" fontId="0" fillId="0" borderId="0" xfId="10" applyNumberFormat="1" applyFont="1" applyFill="1" applyBorder="1"/>
    <xf numFmtId="44" fontId="0" fillId="0" borderId="0" xfId="9" applyFont="1" applyFill="1" applyBorder="1"/>
    <xf numFmtId="177" fontId="0" fillId="0" borderId="0" xfId="9" applyNumberFormat="1" applyFont="1" applyFill="1" applyBorder="1"/>
    <xf numFmtId="6" fontId="0" fillId="0" borderId="0" xfId="9" applyNumberFormat="1" applyFont="1" applyFill="1" applyBorder="1"/>
    <xf numFmtId="44" fontId="0" fillId="2" borderId="0" xfId="9" applyFont="1" applyFill="1"/>
    <xf numFmtId="9" fontId="16" fillId="0" borderId="27" xfId="0" applyNumberFormat="1" applyFont="1" applyBorder="1"/>
    <xf numFmtId="0" fontId="14" fillId="5" borderId="0" xfId="0" applyFont="1" applyFill="1"/>
    <xf numFmtId="44" fontId="0" fillId="0" borderId="0" xfId="9" applyFont="1" applyBorder="1" applyAlignment="1"/>
    <xf numFmtId="10" fontId="16" fillId="0" borderId="0" xfId="0" applyNumberFormat="1" applyFont="1"/>
    <xf numFmtId="0" fontId="15" fillId="5" borderId="0" xfId="0" applyFont="1" applyFill="1"/>
    <xf numFmtId="0" fontId="27" fillId="0" borderId="0" xfId="0" applyFont="1"/>
    <xf numFmtId="9" fontId="16" fillId="0" borderId="0" xfId="0" applyNumberFormat="1" applyFont="1"/>
    <xf numFmtId="0" fontId="15" fillId="5" borderId="0" xfId="0" applyFont="1" applyFill="1" applyAlignment="1">
      <alignment horizontal="center"/>
    </xf>
    <xf numFmtId="10" fontId="0" fillId="0" borderId="0" xfId="4" applyNumberFormat="1" applyFont="1"/>
    <xf numFmtId="0" fontId="28" fillId="0" borderId="0" xfId="0" applyFont="1"/>
    <xf numFmtId="177" fontId="0" fillId="0" borderId="0" xfId="9" applyNumberFormat="1" applyFont="1"/>
    <xf numFmtId="169" fontId="11" fillId="0" borderId="0" xfId="0" applyNumberFormat="1" applyFont="1"/>
    <xf numFmtId="0" fontId="11" fillId="37" borderId="0" xfId="0" applyFont="1" applyFill="1"/>
    <xf numFmtId="0" fontId="10" fillId="0" borderId="0" xfId="0" applyFont="1" applyAlignment="1">
      <alignment horizontal="left" indent="1"/>
    </xf>
    <xf numFmtId="164" fontId="11" fillId="0" borderId="0" xfId="3" applyNumberFormat="1" applyFont="1" applyFill="1" applyBorder="1"/>
    <xf numFmtId="38" fontId="11" fillId="0" borderId="0" xfId="3" applyNumberFormat="1" applyFont="1" applyFill="1" applyBorder="1"/>
    <xf numFmtId="0" fontId="11" fillId="0" borderId="0" xfId="3" applyNumberFormat="1" applyFont="1" applyFill="1"/>
    <xf numFmtId="37" fontId="11" fillId="3" borderId="0" xfId="3" applyNumberFormat="1" applyFont="1" applyFill="1"/>
    <xf numFmtId="37" fontId="11" fillId="0" borderId="0" xfId="3" applyNumberFormat="1" applyFont="1" applyFill="1"/>
    <xf numFmtId="37" fontId="11" fillId="0" borderId="0" xfId="3" applyNumberFormat="1" applyFont="1"/>
    <xf numFmtId="37" fontId="11" fillId="0" borderId="2" xfId="3" applyNumberFormat="1" applyFont="1" applyBorder="1"/>
    <xf numFmtId="37" fontId="0" fillId="0" borderId="0" xfId="3" applyNumberFormat="1" applyFont="1"/>
    <xf numFmtId="0" fontId="0" fillId="0" borderId="0" xfId="0" applyAlignment="1">
      <alignment horizontal="center"/>
    </xf>
    <xf numFmtId="0" fontId="0" fillId="0" borderId="0" xfId="0" applyAlignment="1">
      <alignment wrapText="1"/>
    </xf>
    <xf numFmtId="0" fontId="0" fillId="0" borderId="0" xfId="5" applyFont="1"/>
    <xf numFmtId="0" fontId="0" fillId="0" borderId="0" xfId="1" applyFont="1"/>
    <xf numFmtId="0" fontId="12" fillId="0" borderId="0" xfId="6"/>
    <xf numFmtId="0" fontId="12" fillId="0" borderId="0" xfId="6" applyAlignment="1">
      <alignment wrapText="1"/>
    </xf>
    <xf numFmtId="9" fontId="0" fillId="0" borderId="0" xfId="0" applyNumberFormat="1"/>
    <xf numFmtId="169" fontId="0" fillId="0" borderId="0" xfId="0" applyNumberFormat="1"/>
    <xf numFmtId="0" fontId="19" fillId="0" borderId="0" xfId="0" applyFont="1" applyAlignment="1">
      <alignment horizontal="center"/>
    </xf>
    <xf numFmtId="0" fontId="19" fillId="26" borderId="0" xfId="0" applyFont="1" applyFill="1" applyAlignment="1">
      <alignment horizontal="center"/>
    </xf>
    <xf numFmtId="170" fontId="11" fillId="0" borderId="0" xfId="0" applyNumberFormat="1" applyFont="1"/>
    <xf numFmtId="0" fontId="11" fillId="14" borderId="0" xfId="0" applyFont="1" applyFill="1" applyAlignment="1">
      <alignment horizontal="center"/>
    </xf>
    <xf numFmtId="10" fontId="0" fillId="0" borderId="0" xfId="0" applyNumberFormat="1"/>
    <xf numFmtId="0" fontId="11" fillId="30" borderId="0" xfId="0" applyFont="1" applyFill="1"/>
    <xf numFmtId="44" fontId="11" fillId="0" borderId="0" xfId="9" applyFont="1"/>
    <xf numFmtId="0" fontId="19" fillId="0" borderId="0" xfId="0" applyFont="1"/>
    <xf numFmtId="0" fontId="11" fillId="22" borderId="0" xfId="0" applyFont="1" applyFill="1"/>
    <xf numFmtId="0" fontId="0" fillId="19" borderId="0" xfId="0" applyFill="1"/>
    <xf numFmtId="0" fontId="11" fillId="0" borderId="0" xfId="0" applyFont="1" applyAlignment="1">
      <alignment horizontal="left"/>
    </xf>
    <xf numFmtId="0" fontId="11" fillId="0" borderId="0" xfId="0" applyFont="1" applyAlignment="1">
      <alignment horizontal="center"/>
    </xf>
    <xf numFmtId="0" fontId="0" fillId="28" borderId="0" xfId="0" applyFill="1"/>
    <xf numFmtId="0" fontId="11" fillId="28" borderId="0" xfId="0" applyFont="1" applyFill="1"/>
    <xf numFmtId="0" fontId="11" fillId="27" borderId="0" xfId="0" applyFont="1" applyFill="1"/>
    <xf numFmtId="0" fontId="19" fillId="19" borderId="0" xfId="0" applyFont="1" applyFill="1" applyAlignment="1">
      <alignment horizontal="center"/>
    </xf>
    <xf numFmtId="0" fontId="19" fillId="11" borderId="0" xfId="0" applyFont="1" applyFill="1" applyAlignment="1">
      <alignment horizontal="center"/>
    </xf>
    <xf numFmtId="44" fontId="11" fillId="22" borderId="0" xfId="9" applyFont="1" applyFill="1"/>
    <xf numFmtId="0" fontId="11" fillId="25" borderId="0" xfId="0" applyFont="1" applyFill="1"/>
    <xf numFmtId="0" fontId="0" fillId="0" borderId="0" xfId="0" applyAlignment="1">
      <alignment horizontal="left" indent="1"/>
    </xf>
    <xf numFmtId="0" fontId="19" fillId="0" borderId="0" xfId="0" applyFont="1" applyAlignment="1">
      <alignment horizontal="left" indent="1"/>
    </xf>
    <xf numFmtId="0" fontId="19" fillId="23" borderId="0" xfId="0" applyFont="1" applyFill="1" applyAlignment="1">
      <alignment horizontal="center"/>
    </xf>
    <xf numFmtId="0" fontId="10" fillId="19" borderId="0" xfId="0" applyFont="1" applyFill="1" applyAlignment="1">
      <alignment horizontal="center"/>
    </xf>
    <xf numFmtId="0" fontId="19" fillId="11" borderId="1" xfId="0" applyFont="1" applyFill="1" applyBorder="1" applyAlignment="1">
      <alignment horizontal="center"/>
    </xf>
    <xf numFmtId="0" fontId="11" fillId="0" borderId="1" xfId="0" applyFont="1" applyBorder="1"/>
    <xf numFmtId="0" fontId="11" fillId="0" borderId="2" xfId="0" applyFont="1" applyBorder="1"/>
    <xf numFmtId="170" fontId="0" fillId="0" borderId="0" xfId="0" applyNumberFormat="1"/>
    <xf numFmtId="10" fontId="11" fillId="0" borderId="0" xfId="0" applyNumberFormat="1" applyFont="1"/>
    <xf numFmtId="0" fontId="0" fillId="2" borderId="0" xfId="0" applyFill="1" applyAlignment="1">
      <alignment wrapText="1"/>
    </xf>
    <xf numFmtId="0" fontId="11" fillId="24" borderId="0" xfId="0" applyFont="1" applyFill="1"/>
    <xf numFmtId="0" fontId="0" fillId="22" borderId="0" xfId="0" applyFill="1"/>
    <xf numFmtId="0" fontId="11" fillId="0" borderId="0" xfId="0" applyFont="1" applyAlignment="1">
      <alignment horizontal="left" indent="1" readingOrder="1"/>
    </xf>
    <xf numFmtId="0" fontId="11" fillId="0" borderId="0" xfId="0" applyFont="1" applyAlignment="1">
      <alignment horizontal="left" indent="1"/>
    </xf>
    <xf numFmtId="6" fontId="0" fillId="0" borderId="0" xfId="0" applyNumberFormat="1" applyAlignment="1">
      <alignment horizontal="center"/>
    </xf>
    <xf numFmtId="0" fontId="0" fillId="6" borderId="0" xfId="0" applyFill="1"/>
    <xf numFmtId="44" fontId="0" fillId="0" borderId="0" xfId="0" applyNumberFormat="1"/>
    <xf numFmtId="0" fontId="0" fillId="0" borderId="0" xfId="0" applyAlignment="1">
      <alignment horizontal="right"/>
    </xf>
    <xf numFmtId="3" fontId="0" fillId="0" borderId="0" xfId="0" applyNumberFormat="1"/>
    <xf numFmtId="0" fontId="19" fillId="20" borderId="0" xfId="0" applyFont="1" applyFill="1" applyAlignment="1">
      <alignment horizontal="center"/>
    </xf>
    <xf numFmtId="0" fontId="0" fillId="0" borderId="5" xfId="0" applyBorder="1"/>
    <xf numFmtId="0" fontId="30" fillId="0" borderId="0" xfId="0" applyFont="1"/>
    <xf numFmtId="0" fontId="31" fillId="0" borderId="0" xfId="0" applyFont="1"/>
    <xf numFmtId="6" fontId="0" fillId="0" borderId="0" xfId="0" applyNumberFormat="1"/>
    <xf numFmtId="164" fontId="0" fillId="0" borderId="0" xfId="0" applyNumberFormat="1"/>
    <xf numFmtId="0" fontId="0" fillId="0" borderId="6" xfId="0" applyBorder="1"/>
    <xf numFmtId="0" fontId="0" fillId="0" borderId="33" xfId="0" applyBorder="1"/>
    <xf numFmtId="0" fontId="0" fillId="0" borderId="32" xfId="0" applyBorder="1"/>
    <xf numFmtId="44" fontId="0" fillId="0" borderId="32" xfId="0" applyNumberFormat="1" applyBorder="1"/>
    <xf numFmtId="10" fontId="0" fillId="0" borderId="32" xfId="0" applyNumberFormat="1" applyBorder="1"/>
    <xf numFmtId="3" fontId="11" fillId="0" borderId="0" xfId="0" applyNumberFormat="1" applyFont="1"/>
    <xf numFmtId="0" fontId="0" fillId="13" borderId="0" xfId="0" applyFill="1"/>
    <xf numFmtId="0" fontId="0" fillId="0" borderId="0" xfId="0" pivotButton="1"/>
    <xf numFmtId="0" fontId="0" fillId="0" borderId="0" xfId="0" applyAlignment="1">
      <alignment horizontal="left"/>
    </xf>
    <xf numFmtId="43" fontId="0" fillId="0" borderId="0" xfId="0" applyNumberFormat="1"/>
    <xf numFmtId="10" fontId="0" fillId="0" borderId="2" xfId="0" applyNumberFormat="1" applyBorder="1"/>
    <xf numFmtId="0" fontId="0" fillId="9" borderId="0" xfId="0" applyFill="1"/>
    <xf numFmtId="10" fontId="0" fillId="9" borderId="0" xfId="0" applyNumberFormat="1" applyFill="1"/>
    <xf numFmtId="1" fontId="0" fillId="0" borderId="0" xfId="0" applyNumberFormat="1"/>
    <xf numFmtId="0" fontId="0" fillId="0" borderId="17" xfId="0" applyBorder="1"/>
    <xf numFmtId="8" fontId="0" fillId="0" borderId="0" xfId="0" applyNumberFormat="1"/>
    <xf numFmtId="0" fontId="0" fillId="0" borderId="4" xfId="0" applyBorder="1"/>
    <xf numFmtId="0" fontId="0" fillId="0" borderId="33" xfId="0" applyBorder="1" applyAlignment="1">
      <alignment wrapText="1"/>
    </xf>
    <xf numFmtId="0" fontId="0" fillId="0" borderId="4" xfId="0" applyBorder="1" applyAlignment="1">
      <alignment wrapText="1"/>
    </xf>
    <xf numFmtId="0" fontId="0" fillId="0" borderId="8" xfId="0" applyBorder="1"/>
    <xf numFmtId="0" fontId="0" fillId="0" borderId="31" xfId="0" applyBorder="1"/>
    <xf numFmtId="3" fontId="0" fillId="0" borderId="2" xfId="0" applyNumberFormat="1" applyBorder="1"/>
    <xf numFmtId="9" fontId="0" fillId="0" borderId="24" xfId="0" applyNumberFormat="1" applyBorder="1"/>
    <xf numFmtId="0" fontId="0" fillId="0" borderId="0" xfId="0" applyAlignment="1">
      <alignment horizontal="center" wrapText="1"/>
    </xf>
    <xf numFmtId="172" fontId="0" fillId="0" borderId="0" xfId="0" applyNumberFormat="1"/>
    <xf numFmtId="0" fontId="19" fillId="0" borderId="17" xfId="0" applyFont="1" applyBorder="1" applyAlignment="1">
      <alignment horizontal="center"/>
    </xf>
    <xf numFmtId="1" fontId="0" fillId="0" borderId="13" xfId="0" applyNumberFormat="1" applyBorder="1"/>
    <xf numFmtId="0" fontId="19" fillId="0" borderId="18" xfId="0" applyFont="1" applyBorder="1" applyAlignment="1">
      <alignment horizontal="center"/>
    </xf>
    <xf numFmtId="1" fontId="0" fillId="0" borderId="19" xfId="0" applyNumberFormat="1" applyBorder="1"/>
    <xf numFmtId="1" fontId="0" fillId="0" borderId="20" xfId="0" applyNumberFormat="1" applyBorder="1"/>
    <xf numFmtId="2" fontId="16" fillId="0" borderId="0" xfId="0" applyNumberFormat="1" applyFont="1" applyAlignment="1">
      <alignment horizontal="center"/>
    </xf>
    <xf numFmtId="0" fontId="12" fillId="0" borderId="0" xfId="6" quotePrefix="1"/>
    <xf numFmtId="2" fontId="0" fillId="0" borderId="0" xfId="0" applyNumberFormat="1"/>
    <xf numFmtId="0" fontId="0" fillId="0" borderId="10" xfId="0" applyBorder="1"/>
    <xf numFmtId="172" fontId="0" fillId="0" borderId="10" xfId="0" applyNumberFormat="1" applyBorder="1"/>
    <xf numFmtId="1" fontId="0" fillId="36" borderId="15" xfId="0" applyNumberFormat="1" applyFill="1" applyBorder="1"/>
    <xf numFmtId="1" fontId="0" fillId="36" borderId="16" xfId="0" applyNumberFormat="1" applyFill="1" applyBorder="1"/>
    <xf numFmtId="166" fontId="0" fillId="0" borderId="0" xfId="0" applyNumberFormat="1"/>
    <xf numFmtId="172" fontId="11" fillId="0" borderId="0" xfId="0" applyNumberFormat="1" applyFont="1"/>
    <xf numFmtId="0" fontId="0" fillId="0" borderId="2" xfId="0" applyBorder="1"/>
    <xf numFmtId="1" fontId="0" fillId="0" borderId="10" xfId="0" applyNumberFormat="1" applyBorder="1"/>
    <xf numFmtId="172" fontId="11" fillId="0" borderId="10" xfId="0" applyNumberFormat="1" applyFont="1" applyBorder="1"/>
    <xf numFmtId="0" fontId="0" fillId="5" borderId="0" xfId="0" applyFill="1"/>
    <xf numFmtId="171" fontId="0" fillId="0" borderId="0" xfId="0" applyNumberFormat="1"/>
    <xf numFmtId="170" fontId="0" fillId="0" borderId="10" xfId="0" applyNumberFormat="1" applyBorder="1"/>
    <xf numFmtId="0" fontId="0" fillId="0" borderId="59" xfId="0" applyBorder="1"/>
    <xf numFmtId="174" fontId="0" fillId="0" borderId="0" xfId="0" applyNumberFormat="1"/>
    <xf numFmtId="0" fontId="0" fillId="0" borderId="0" xfId="0" applyAlignment="1">
      <alignment horizontal="left" wrapText="1" indent="1"/>
    </xf>
    <xf numFmtId="0" fontId="11" fillId="32" borderId="0" xfId="0" applyFont="1" applyFill="1"/>
    <xf numFmtId="0" fontId="35" fillId="32" borderId="0" xfId="0" applyFont="1" applyFill="1"/>
    <xf numFmtId="0" fontId="0" fillId="29" borderId="0" xfId="0" applyFill="1"/>
    <xf numFmtId="0" fontId="11" fillId="29" borderId="0" xfId="0" applyFont="1" applyFill="1"/>
    <xf numFmtId="0" fontId="0" fillId="33" borderId="0" xfId="0" applyFill="1"/>
    <xf numFmtId="0" fontId="11" fillId="33" borderId="0" xfId="0" applyFont="1" applyFill="1"/>
    <xf numFmtId="0" fontId="0" fillId="0" borderId="0" xfId="0" quotePrefix="1"/>
    <xf numFmtId="0" fontId="11" fillId="19" borderId="0" xfId="0" applyFont="1" applyFill="1"/>
    <xf numFmtId="0" fontId="11" fillId="7" borderId="0" xfId="0" applyFont="1" applyFill="1"/>
    <xf numFmtId="0" fontId="0" fillId="0" borderId="0" xfId="0" quotePrefix="1" applyAlignment="1">
      <alignment horizontal="left" indent="1"/>
    </xf>
    <xf numFmtId="170" fontId="18" fillId="0" borderId="0" xfId="0" applyNumberFormat="1" applyFont="1"/>
    <xf numFmtId="0" fontId="36" fillId="0" borderId="0" xfId="0" applyFont="1"/>
    <xf numFmtId="0" fontId="36" fillId="30" borderId="0" xfId="0" applyFont="1" applyFill="1"/>
    <xf numFmtId="0" fontId="11" fillId="13" borderId="0" xfId="0" applyFont="1" applyFill="1"/>
    <xf numFmtId="44" fontId="11" fillId="22" borderId="1" xfId="9" applyFont="1" applyFill="1" applyBorder="1"/>
    <xf numFmtId="0" fontId="0" fillId="0" borderId="1" xfId="0" applyBorder="1"/>
    <xf numFmtId="10" fontId="11" fillId="24" borderId="1" xfId="0" applyNumberFormat="1" applyFont="1" applyFill="1" applyBorder="1"/>
    <xf numFmtId="10" fontId="11" fillId="24" borderId="0" xfId="0" applyNumberFormat="1" applyFont="1" applyFill="1" applyAlignment="1">
      <alignment horizontal="right"/>
    </xf>
    <xf numFmtId="10" fontId="11" fillId="21" borderId="0" xfId="0" applyNumberFormat="1" applyFont="1" applyFill="1"/>
    <xf numFmtId="0" fontId="11" fillId="0" borderId="0" xfId="0" applyFont="1" applyAlignment="1">
      <alignment wrapText="1"/>
    </xf>
    <xf numFmtId="0" fontId="38" fillId="0" borderId="0" xfId="0" applyFont="1"/>
    <xf numFmtId="44" fontId="0" fillId="0" borderId="33" xfId="0" applyNumberFormat="1" applyBorder="1"/>
    <xf numFmtId="0" fontId="0" fillId="9" borderId="0" xfId="0" applyFill="1" applyAlignment="1">
      <alignment wrapText="1"/>
    </xf>
    <xf numFmtId="9" fontId="0" fillId="9" borderId="0" xfId="0" applyNumberFormat="1" applyFill="1"/>
    <xf numFmtId="10" fontId="0" fillId="2" borderId="0" xfId="0" applyNumberFormat="1" applyFill="1"/>
    <xf numFmtId="170" fontId="0" fillId="2" borderId="0" xfId="0" applyNumberFormat="1" applyFill="1"/>
    <xf numFmtId="0" fontId="0" fillId="2" borderId="0" xfId="0" applyFill="1"/>
    <xf numFmtId="170" fontId="0" fillId="9" borderId="0" xfId="0" applyNumberFormat="1" applyFill="1"/>
    <xf numFmtId="10" fontId="0" fillId="0" borderId="6" xfId="10" applyNumberFormat="1" applyFont="1" applyBorder="1"/>
    <xf numFmtId="0" fontId="0" fillId="0" borderId="14" xfId="0" applyBorder="1"/>
    <xf numFmtId="170" fontId="0" fillId="0" borderId="16" xfId="0" applyNumberFormat="1" applyBorder="1"/>
    <xf numFmtId="170" fontId="0" fillId="0" borderId="13" xfId="0" applyNumberFormat="1" applyBorder="1"/>
    <xf numFmtId="0" fontId="0" fillId="0" borderId="18" xfId="0" applyBorder="1"/>
    <xf numFmtId="170" fontId="0" fillId="0" borderId="20" xfId="0" applyNumberFormat="1" applyBorder="1"/>
    <xf numFmtId="44" fontId="0" fillId="9" borderId="0" xfId="9" applyFont="1" applyFill="1"/>
    <xf numFmtId="0" fontId="40" fillId="0" borderId="0" xfId="0" applyFont="1"/>
    <xf numFmtId="0" fontId="14" fillId="5" borderId="0" xfId="0" applyFont="1" applyFill="1" applyAlignment="1">
      <alignment horizontal="center"/>
    </xf>
    <xf numFmtId="0" fontId="41" fillId="0" borderId="0" xfId="0" applyFont="1"/>
    <xf numFmtId="0" fontId="20" fillId="0" borderId="0" xfId="0" applyFont="1"/>
    <xf numFmtId="0" fontId="42" fillId="0" borderId="0" xfId="0" applyFont="1"/>
    <xf numFmtId="0" fontId="38" fillId="0" borderId="0" xfId="0" applyFont="1" applyAlignment="1">
      <alignment horizontal="center"/>
    </xf>
    <xf numFmtId="10" fontId="38" fillId="0" borderId="0" xfId="0" applyNumberFormat="1" applyFont="1" applyAlignment="1">
      <alignment horizontal="center"/>
    </xf>
    <xf numFmtId="0" fontId="10" fillId="0" borderId="11" xfId="0" applyFont="1" applyBorder="1" applyAlignment="1">
      <alignment horizontal="center"/>
    </xf>
    <xf numFmtId="0" fontId="21" fillId="0" borderId="0" xfId="0" applyFont="1" applyAlignment="1">
      <alignment horizontal="center"/>
    </xf>
    <xf numFmtId="170" fontId="37" fillId="0" borderId="0" xfId="0" applyNumberFormat="1" applyFont="1" applyAlignment="1">
      <alignment horizontal="right"/>
    </xf>
    <xf numFmtId="170" fontId="37" fillId="0" borderId="0" xfId="0" applyNumberFormat="1" applyFont="1"/>
    <xf numFmtId="173" fontId="0" fillId="0" borderId="0" xfId="7" applyNumberFormat="1" applyFont="1" applyFill="1"/>
    <xf numFmtId="10" fontId="0" fillId="0" borderId="0" xfId="8" applyNumberFormat="1" applyFont="1" applyFill="1" applyAlignment="1">
      <alignment horizontal="right"/>
    </xf>
    <xf numFmtId="10" fontId="0" fillId="0" borderId="0" xfId="0" applyNumberFormat="1" applyAlignment="1">
      <alignment horizontal="right"/>
    </xf>
    <xf numFmtId="173" fontId="0" fillId="0" borderId="0" xfId="7" applyNumberFormat="1" applyFont="1"/>
    <xf numFmtId="9" fontId="0" fillId="0" borderId="0" xfId="8" applyFont="1" applyAlignment="1">
      <alignment horizontal="center"/>
    </xf>
    <xf numFmtId="0" fontId="10" fillId="34" borderId="10" xfId="0" applyFont="1" applyFill="1" applyBorder="1"/>
    <xf numFmtId="0" fontId="0" fillId="34" borderId="10" xfId="0" applyFill="1" applyBorder="1" applyAlignment="1">
      <alignment horizontal="center"/>
    </xf>
    <xf numFmtId="170" fontId="0" fillId="34" borderId="10" xfId="0" applyNumberFormat="1" applyFill="1" applyBorder="1"/>
    <xf numFmtId="9" fontId="0" fillId="0" borderId="0" xfId="0" applyNumberFormat="1" applyAlignment="1">
      <alignment horizontal="center"/>
    </xf>
    <xf numFmtId="2" fontId="0" fillId="0" borderId="0" xfId="0" applyNumberFormat="1" applyAlignment="1">
      <alignment horizontal="center"/>
    </xf>
    <xf numFmtId="10" fontId="0" fillId="0" borderId="0" xfId="0" applyNumberFormat="1" applyAlignment="1">
      <alignment horizontal="center"/>
    </xf>
    <xf numFmtId="9" fontId="0" fillId="34" borderId="10" xfId="0" applyNumberFormat="1" applyFill="1" applyBorder="1" applyAlignment="1">
      <alignment horizontal="center"/>
    </xf>
    <xf numFmtId="9" fontId="16" fillId="0" borderId="0" xfId="8" applyFont="1" applyAlignment="1">
      <alignment horizontal="center"/>
    </xf>
    <xf numFmtId="0" fontId="10" fillId="0" borderId="0" xfId="0" applyFont="1" applyAlignment="1">
      <alignment vertical="top"/>
    </xf>
    <xf numFmtId="9" fontId="16" fillId="0" borderId="0" xfId="0" applyNumberFormat="1" applyFont="1" applyAlignment="1">
      <alignment horizontal="center" vertical="top"/>
    </xf>
    <xf numFmtId="170" fontId="0" fillId="0" borderId="0" xfId="0" applyNumberFormat="1" applyAlignment="1">
      <alignment vertical="top"/>
    </xf>
    <xf numFmtId="0" fontId="0" fillId="0" borderId="0" xfId="0" applyAlignment="1">
      <alignment horizontal="center" vertical="top"/>
    </xf>
    <xf numFmtId="10" fontId="0" fillId="0" borderId="0" xfId="8" applyNumberFormat="1" applyFont="1"/>
    <xf numFmtId="0" fontId="43" fillId="0" borderId="0" xfId="0" applyFont="1" applyAlignment="1">
      <alignment horizontal="center"/>
    </xf>
    <xf numFmtId="170" fontId="0" fillId="8" borderId="0" xfId="0" applyNumberFormat="1" applyFill="1" applyAlignment="1">
      <alignment horizontal="right"/>
    </xf>
    <xf numFmtId="170" fontId="40" fillId="0" borderId="0" xfId="0" applyNumberFormat="1" applyFont="1" applyAlignment="1">
      <alignment horizontal="right"/>
    </xf>
    <xf numFmtId="170" fontId="0" fillId="0" borderId="0" xfId="0" applyNumberFormat="1" applyAlignment="1">
      <alignment horizontal="right"/>
    </xf>
    <xf numFmtId="171" fontId="40" fillId="0" borderId="0" xfId="0" applyNumberFormat="1" applyFont="1" applyAlignment="1">
      <alignment horizontal="right"/>
    </xf>
    <xf numFmtId="0" fontId="0" fillId="0" borderId="0" xfId="0" applyAlignment="1">
      <alignment horizontal="left" vertical="center"/>
    </xf>
    <xf numFmtId="8" fontId="0" fillId="0" borderId="0" xfId="0" applyNumberFormat="1" applyAlignment="1">
      <alignment horizontal="left"/>
    </xf>
    <xf numFmtId="170" fontId="16" fillId="0" borderId="0" xfId="0" applyNumberFormat="1" applyFont="1" applyAlignment="1">
      <alignment horizontal="right"/>
    </xf>
    <xf numFmtId="170" fontId="0" fillId="0" borderId="10" xfId="0" applyNumberFormat="1" applyBorder="1" applyAlignment="1">
      <alignment horizontal="right"/>
    </xf>
    <xf numFmtId="0" fontId="0" fillId="0" borderId="10" xfId="0" applyBorder="1" applyAlignment="1">
      <alignment horizontal="right"/>
    </xf>
    <xf numFmtId="172" fontId="11" fillId="7" borderId="0" xfId="0" applyNumberFormat="1" applyFont="1" applyFill="1"/>
    <xf numFmtId="0" fontId="11" fillId="0" borderId="10" xfId="0" applyFont="1" applyBorder="1"/>
    <xf numFmtId="172" fontId="14" fillId="5" borderId="0" xfId="0" applyNumberFormat="1" applyFont="1" applyFill="1"/>
    <xf numFmtId="1" fontId="14" fillId="5" borderId="0" xfId="0" applyNumberFormat="1" applyFont="1" applyFill="1"/>
    <xf numFmtId="2" fontId="14" fillId="5" borderId="0" xfId="0" applyNumberFormat="1" applyFont="1" applyFill="1"/>
    <xf numFmtId="2" fontId="11" fillId="7" borderId="0" xfId="0" applyNumberFormat="1" applyFont="1" applyFill="1"/>
    <xf numFmtId="0" fontId="44" fillId="0" borderId="0" xfId="0" applyFont="1"/>
    <xf numFmtId="0" fontId="23" fillId="0" borderId="0" xfId="1" applyFont="1"/>
    <xf numFmtId="0" fontId="38" fillId="0" borderId="0" xfId="5" applyFont="1" applyAlignment="1">
      <alignment wrapText="1"/>
    </xf>
    <xf numFmtId="0" fontId="14" fillId="4" borderId="2" xfId="0" applyFont="1" applyFill="1" applyBorder="1"/>
    <xf numFmtId="0" fontId="14" fillId="4" borderId="2" xfId="0" applyFont="1" applyFill="1" applyBorder="1" applyAlignment="1">
      <alignment wrapText="1"/>
    </xf>
    <xf numFmtId="0" fontId="14" fillId="4" borderId="2" xfId="0" applyFont="1" applyFill="1" applyBorder="1" applyAlignment="1">
      <alignment horizontal="center" vertical="center" wrapText="1"/>
    </xf>
    <xf numFmtId="10" fontId="11" fillId="0" borderId="10" xfId="0" applyNumberFormat="1" applyFont="1" applyBorder="1"/>
    <xf numFmtId="0" fontId="23" fillId="0" borderId="0" xfId="5" applyFont="1"/>
    <xf numFmtId="0" fontId="14" fillId="5" borderId="0" xfId="5" applyFont="1" applyFill="1" applyAlignment="1">
      <alignment wrapText="1"/>
    </xf>
    <xf numFmtId="0" fontId="15" fillId="5" borderId="0" xfId="5" applyFont="1" applyFill="1"/>
    <xf numFmtId="0" fontId="14" fillId="5" borderId="0" xfId="5" applyFont="1" applyFill="1"/>
    <xf numFmtId="0" fontId="14" fillId="5" borderId="1" xfId="5" applyFont="1" applyFill="1" applyBorder="1" applyAlignment="1">
      <alignment horizontal="center"/>
    </xf>
    <xf numFmtId="0" fontId="14" fillId="0" borderId="0" xfId="5" applyFont="1"/>
    <xf numFmtId="0" fontId="14" fillId="0" borderId="0" xfId="5" applyFont="1" applyAlignment="1">
      <alignment horizontal="center"/>
    </xf>
    <xf numFmtId="0" fontId="38" fillId="38" borderId="0" xfId="5" applyFont="1" applyFill="1"/>
    <xf numFmtId="0" fontId="38" fillId="0" borderId="0" xfId="5" applyFont="1"/>
    <xf numFmtId="164" fontId="38" fillId="0" borderId="0" xfId="3" applyNumberFormat="1" applyFont="1"/>
    <xf numFmtId="0" fontId="23" fillId="0" borderId="0" xfId="5" applyFont="1" applyAlignment="1">
      <alignment horizontal="left" indent="1"/>
    </xf>
    <xf numFmtId="0" fontId="28" fillId="0" borderId="0" xfId="5" applyFont="1"/>
    <xf numFmtId="164" fontId="0" fillId="0" borderId="0" xfId="3" applyNumberFormat="1" applyFont="1" applyBorder="1"/>
    <xf numFmtId="164" fontId="0" fillId="0" borderId="0" xfId="7" applyNumberFormat="1" applyFont="1" applyBorder="1"/>
    <xf numFmtId="0" fontId="38" fillId="8" borderId="10" xfId="5" applyFont="1" applyFill="1" applyBorder="1"/>
    <xf numFmtId="164" fontId="0" fillId="8" borderId="10" xfId="3" applyNumberFormat="1" applyFont="1" applyFill="1" applyBorder="1"/>
    <xf numFmtId="0" fontId="0" fillId="38" borderId="0" xfId="0" applyFill="1"/>
    <xf numFmtId="164" fontId="23" fillId="0" borderId="0" xfId="5" applyNumberFormat="1" applyFont="1"/>
    <xf numFmtId="179" fontId="23" fillId="0" borderId="0" xfId="3" applyNumberFormat="1" applyFont="1" applyBorder="1"/>
    <xf numFmtId="0" fontId="0" fillId="8" borderId="10" xfId="0" applyFill="1" applyBorder="1"/>
    <xf numFmtId="164" fontId="23" fillId="8" borderId="10" xfId="3" applyNumberFormat="1" applyFont="1" applyFill="1" applyBorder="1"/>
    <xf numFmtId="164" fontId="23" fillId="0" borderId="0" xfId="3" applyNumberFormat="1" applyFont="1"/>
    <xf numFmtId="1" fontId="23" fillId="0" borderId="0" xfId="5" applyNumberFormat="1" applyFont="1"/>
    <xf numFmtId="170" fontId="23" fillId="0" borderId="0" xfId="5" applyNumberFormat="1" applyFont="1"/>
    <xf numFmtId="0" fontId="16" fillId="0" borderId="0" xfId="5" applyFont="1"/>
    <xf numFmtId="0" fontId="23" fillId="8" borderId="10" xfId="5" applyFont="1" applyFill="1" applyBorder="1"/>
    <xf numFmtId="0" fontId="23" fillId="15" borderId="0" xfId="5" applyFont="1" applyFill="1"/>
    <xf numFmtId="164" fontId="0" fillId="15" borderId="0" xfId="3" applyNumberFormat="1" applyFont="1" applyFill="1"/>
    <xf numFmtId="0" fontId="23" fillId="0" borderId="0" xfId="5" applyFont="1" applyAlignment="1">
      <alignment wrapText="1"/>
    </xf>
    <xf numFmtId="0" fontId="15" fillId="0" borderId="0" xfId="5" applyFont="1"/>
    <xf numFmtId="164" fontId="23" fillId="0" borderId="0" xfId="3" applyNumberFormat="1" applyFont="1" applyFill="1"/>
    <xf numFmtId="164" fontId="23" fillId="15" borderId="0" xfId="3" applyNumberFormat="1" applyFont="1" applyFill="1"/>
    <xf numFmtId="164" fontId="11" fillId="0" borderId="0" xfId="3" applyNumberFormat="1" applyFont="1" applyFill="1"/>
    <xf numFmtId="0" fontId="23" fillId="0" borderId="0" xfId="5" quotePrefix="1" applyFont="1"/>
    <xf numFmtId="164" fontId="11" fillId="0" borderId="0" xfId="3" applyNumberFormat="1" applyFont="1"/>
    <xf numFmtId="179" fontId="11" fillId="0" borderId="0" xfId="3" applyNumberFormat="1" applyFont="1"/>
    <xf numFmtId="164" fontId="23" fillId="0" borderId="0" xfId="3" applyNumberFormat="1" applyFont="1" applyFill="1" applyBorder="1"/>
    <xf numFmtId="164" fontId="23" fillId="0" borderId="0" xfId="3" applyNumberFormat="1" applyFont="1" applyBorder="1"/>
    <xf numFmtId="0" fontId="45" fillId="0" borderId="0" xfId="2" applyFont="1" applyAlignment="1" applyProtection="1"/>
    <xf numFmtId="164" fontId="23" fillId="0" borderId="0" xfId="3" applyNumberFormat="1" applyFont="1" applyAlignment="1">
      <alignment horizontal="center"/>
    </xf>
    <xf numFmtId="164" fontId="23" fillId="0" borderId="0" xfId="3" applyNumberFormat="1" applyFont="1" applyFill="1" applyAlignment="1">
      <alignment horizontal="center"/>
    </xf>
    <xf numFmtId="169" fontId="23" fillId="0" borderId="0" xfId="5" applyNumberFormat="1" applyFont="1" applyAlignment="1">
      <alignment horizontal="center"/>
    </xf>
    <xf numFmtId="168" fontId="23" fillId="0" borderId="0" xfId="5" applyNumberFormat="1" applyFont="1"/>
    <xf numFmtId="9" fontId="23" fillId="0" borderId="0" xfId="5" applyNumberFormat="1" applyFont="1"/>
    <xf numFmtId="9" fontId="45" fillId="0" borderId="0" xfId="2" applyNumberFormat="1" applyFont="1" applyAlignment="1" applyProtection="1"/>
    <xf numFmtId="43" fontId="23" fillId="0" borderId="0" xfId="5" applyNumberFormat="1" applyFont="1"/>
    <xf numFmtId="0" fontId="20" fillId="0" borderId="0" xfId="5" applyFont="1"/>
    <xf numFmtId="166" fontId="23" fillId="0" borderId="0" xfId="5" applyNumberFormat="1" applyFont="1"/>
    <xf numFmtId="164" fontId="33" fillId="0" borderId="0" xfId="3" applyNumberFormat="1" applyFont="1"/>
    <xf numFmtId="38" fontId="11" fillId="0" borderId="0" xfId="5" applyNumberFormat="1" applyFont="1"/>
    <xf numFmtId="0" fontId="34" fillId="0" borderId="0" xfId="5" applyFont="1"/>
    <xf numFmtId="37" fontId="11" fillId="0" borderId="0" xfId="5" applyNumberFormat="1" applyFont="1"/>
    <xf numFmtId="165" fontId="23" fillId="0" borderId="0" xfId="3" applyNumberFormat="1" applyFont="1"/>
    <xf numFmtId="164" fontId="10" fillId="0" borderId="0" xfId="3" applyNumberFormat="1" applyFont="1" applyAlignment="1">
      <alignment vertical="center"/>
    </xf>
    <xf numFmtId="164" fontId="9" fillId="0" borderId="0" xfId="3" applyNumberFormat="1" applyFont="1" applyAlignment="1">
      <alignment vertical="center"/>
    </xf>
    <xf numFmtId="165" fontId="38" fillId="8" borderId="10" xfId="3" applyNumberFormat="1" applyFont="1" applyFill="1" applyBorder="1"/>
    <xf numFmtId="37" fontId="23" fillId="0" borderId="0" xfId="5" applyNumberFormat="1" applyFont="1"/>
    <xf numFmtId="10" fontId="23" fillId="0" borderId="0" xfId="5" applyNumberFormat="1" applyFont="1"/>
    <xf numFmtId="168" fontId="39" fillId="0" borderId="0" xfId="5" applyNumberFormat="1" applyFont="1"/>
    <xf numFmtId="164" fontId="23" fillId="0" borderId="0" xfId="1" applyNumberFormat="1" applyFont="1"/>
    <xf numFmtId="164" fontId="38" fillId="0" borderId="0" xfId="1" applyNumberFormat="1" applyFont="1"/>
    <xf numFmtId="2" fontId="23" fillId="0" borderId="0" xfId="1" applyNumberFormat="1" applyFont="1"/>
    <xf numFmtId="9" fontId="23" fillId="0" borderId="0" xfId="1" applyNumberFormat="1" applyFont="1"/>
    <xf numFmtId="0" fontId="38" fillId="0" borderId="0" xfId="1" applyFont="1" applyAlignment="1">
      <alignment wrapText="1"/>
    </xf>
    <xf numFmtId="164" fontId="11" fillId="0" borderId="0" xfId="0" applyNumberFormat="1" applyFont="1"/>
    <xf numFmtId="0" fontId="14" fillId="5" borderId="0" xfId="1" applyFont="1" applyFill="1"/>
    <xf numFmtId="164" fontId="14" fillId="5" borderId="0" xfId="1" applyNumberFormat="1" applyFont="1" applyFill="1" applyAlignment="1">
      <alignment horizontal="center"/>
    </xf>
    <xf numFmtId="164" fontId="45" fillId="0" borderId="0" xfId="2" applyNumberFormat="1" applyFont="1" applyAlignment="1" applyProtection="1"/>
    <xf numFmtId="0" fontId="33" fillId="0" borderId="0" xfId="1" applyFont="1" applyAlignment="1">
      <alignment wrapText="1"/>
    </xf>
    <xf numFmtId="164" fontId="23" fillId="0" borderId="0" xfId="1" quotePrefix="1" applyNumberFormat="1" applyFont="1"/>
    <xf numFmtId="0" fontId="23" fillId="0" borderId="0" xfId="1" applyFont="1" applyAlignment="1">
      <alignment wrapText="1"/>
    </xf>
    <xf numFmtId="164" fontId="11" fillId="0" borderId="0" xfId="3" applyNumberFormat="1" applyFont="1" applyFill="1" applyAlignment="1">
      <alignment horizontal="center" vertical="center"/>
    </xf>
    <xf numFmtId="164" fontId="11" fillId="0" borderId="0" xfId="3" applyNumberFormat="1" applyFont="1" applyAlignment="1">
      <alignment horizontal="center" vertical="center"/>
    </xf>
    <xf numFmtId="0" fontId="18" fillId="0" borderId="0" xfId="1" applyFont="1"/>
    <xf numFmtId="0" fontId="23" fillId="0" borderId="0" xfId="1" applyFont="1" applyAlignment="1">
      <alignment horizontal="left" wrapText="1" indent="2"/>
    </xf>
    <xf numFmtId="164" fontId="16" fillId="0" borderId="0" xfId="3" applyNumberFormat="1" applyFont="1" applyFill="1"/>
    <xf numFmtId="0" fontId="38" fillId="0" borderId="0" xfId="1" applyFont="1"/>
    <xf numFmtId="0" fontId="28" fillId="0" borderId="0" xfId="1" applyFont="1"/>
    <xf numFmtId="0" fontId="38" fillId="0" borderId="0" xfId="1" applyFont="1" applyAlignment="1">
      <alignment vertical="center"/>
    </xf>
    <xf numFmtId="0" fontId="23" fillId="0" borderId="1" xfId="1" applyFont="1" applyBorder="1" applyAlignment="1">
      <alignment wrapText="1"/>
    </xf>
    <xf numFmtId="164" fontId="0" fillId="38" borderId="1" xfId="3" applyNumberFormat="1" applyFont="1" applyFill="1" applyBorder="1" applyAlignment="1">
      <alignment horizontal="center"/>
    </xf>
    <xf numFmtId="0" fontId="38" fillId="0" borderId="0" xfId="1" applyFont="1" applyAlignment="1">
      <alignment horizontal="center"/>
    </xf>
    <xf numFmtId="0" fontId="9" fillId="0" borderId="0" xfId="1" applyFont="1" applyAlignment="1">
      <alignment horizontal="center"/>
    </xf>
    <xf numFmtId="164" fontId="0" fillId="15" borderId="0" xfId="0" applyNumberFormat="1" applyFill="1"/>
    <xf numFmtId="164" fontId="38" fillId="0" borderId="0" xfId="1" applyNumberFormat="1" applyFont="1" applyAlignment="1">
      <alignment horizontal="center"/>
    </xf>
    <xf numFmtId="178" fontId="23" fillId="0" borderId="0" xfId="1" applyNumberFormat="1" applyFont="1"/>
    <xf numFmtId="0" fontId="23" fillId="0" borderId="61" xfId="1" applyFont="1" applyBorder="1" applyAlignment="1">
      <alignment wrapText="1"/>
    </xf>
    <xf numFmtId="164" fontId="23" fillId="0" borderId="60" xfId="1" applyNumberFormat="1" applyFont="1" applyBorder="1"/>
    <xf numFmtId="164" fontId="0" fillId="38" borderId="60" xfId="3" applyNumberFormat="1" applyFont="1" applyFill="1" applyBorder="1"/>
    <xf numFmtId="164" fontId="0" fillId="38" borderId="62" xfId="3" applyNumberFormat="1" applyFont="1" applyFill="1" applyBorder="1"/>
    <xf numFmtId="0" fontId="23" fillId="0" borderId="63" xfId="1" applyFont="1" applyBorder="1" applyAlignment="1">
      <alignment wrapText="1"/>
    </xf>
    <xf numFmtId="164" fontId="0" fillId="38" borderId="0" xfId="3" applyNumberFormat="1" applyFont="1" applyFill="1" applyBorder="1"/>
    <xf numFmtId="164" fontId="0" fillId="38" borderId="59" xfId="3" applyNumberFormat="1" applyFont="1" applyFill="1" applyBorder="1"/>
    <xf numFmtId="164" fontId="23" fillId="0" borderId="42" xfId="1" applyNumberFormat="1" applyFont="1" applyBorder="1"/>
    <xf numFmtId="164" fontId="0" fillId="38" borderId="42" xfId="3" applyNumberFormat="1" applyFont="1" applyFill="1" applyBorder="1"/>
    <xf numFmtId="164" fontId="0" fillId="38" borderId="65" xfId="3" applyNumberFormat="1" applyFont="1" applyFill="1" applyBorder="1"/>
    <xf numFmtId="0" fontId="38" fillId="0" borderId="10" xfId="1" applyFont="1" applyBorder="1" applyAlignment="1">
      <alignment wrapText="1"/>
    </xf>
    <xf numFmtId="43" fontId="0" fillId="15" borderId="0" xfId="0" applyNumberFormat="1" applyFill="1"/>
    <xf numFmtId="43" fontId="23" fillId="0" borderId="0" xfId="1" applyNumberFormat="1" applyFont="1"/>
    <xf numFmtId="43" fontId="23" fillId="15" borderId="0" xfId="1" applyNumberFormat="1" applyFont="1" applyFill="1"/>
    <xf numFmtId="0" fontId="23" fillId="0" borderId="4" xfId="1" applyFont="1" applyBorder="1" applyAlignment="1">
      <alignment wrapText="1"/>
    </xf>
    <xf numFmtId="43" fontId="23" fillId="0" borderId="5" xfId="1" applyNumberFormat="1" applyFont="1" applyBorder="1"/>
    <xf numFmtId="43" fontId="23" fillId="38" borderId="5" xfId="1" applyNumberFormat="1" applyFont="1" applyFill="1" applyBorder="1"/>
    <xf numFmtId="0" fontId="23" fillId="0" borderId="6" xfId="1" applyFont="1" applyBorder="1" applyAlignment="1">
      <alignment wrapText="1"/>
    </xf>
    <xf numFmtId="43" fontId="23" fillId="38" borderId="0" xfId="1" applyNumberFormat="1" applyFont="1" applyFill="1"/>
    <xf numFmtId="43" fontId="23" fillId="0" borderId="10" xfId="1" applyNumberFormat="1" applyFont="1" applyBorder="1"/>
    <xf numFmtId="43" fontId="38" fillId="0" borderId="10" xfId="1" applyNumberFormat="1" applyFont="1" applyBorder="1"/>
    <xf numFmtId="43" fontId="38" fillId="0" borderId="0" xfId="1" applyNumberFormat="1" applyFont="1"/>
    <xf numFmtId="43" fontId="10" fillId="0" borderId="2" xfId="3" applyFont="1" applyBorder="1"/>
    <xf numFmtId="164" fontId="0" fillId="0" borderId="0" xfId="3" applyNumberFormat="1" applyFont="1" applyAlignment="1">
      <alignment horizontal="left"/>
    </xf>
    <xf numFmtId="164" fontId="37" fillId="0" borderId="0" xfId="0" applyNumberFormat="1" applyFont="1"/>
    <xf numFmtId="164" fontId="23" fillId="38" borderId="60" xfId="1" applyNumberFormat="1" applyFont="1" applyFill="1" applyBorder="1"/>
    <xf numFmtId="164" fontId="23" fillId="38" borderId="0" xfId="1" applyNumberFormat="1" applyFont="1" applyFill="1"/>
    <xf numFmtId="164" fontId="10" fillId="38" borderId="0" xfId="3" applyNumberFormat="1" applyFont="1" applyFill="1" applyBorder="1"/>
    <xf numFmtId="0" fontId="23" fillId="0" borderId="64" xfId="1" applyFont="1" applyBorder="1" applyAlignment="1">
      <alignment wrapText="1"/>
    </xf>
    <xf numFmtId="164" fontId="23" fillId="38" borderId="42" xfId="1" applyNumberFormat="1" applyFont="1" applyFill="1" applyBorder="1"/>
    <xf numFmtId="164" fontId="0" fillId="0" borderId="0" xfId="3" applyNumberFormat="1" applyFont="1" applyFill="1" applyBorder="1"/>
    <xf numFmtId="164" fontId="10" fillId="0" borderId="3" xfId="3" applyNumberFormat="1" applyFont="1" applyFill="1" applyBorder="1"/>
    <xf numFmtId="0" fontId="9" fillId="0" borderId="0" xfId="1" applyFont="1" applyAlignment="1">
      <alignment horizontal="center" wrapText="1"/>
    </xf>
    <xf numFmtId="164" fontId="9" fillId="0" borderId="0" xfId="1" applyNumberFormat="1" applyFont="1" applyAlignment="1">
      <alignment horizontal="center" wrapText="1"/>
    </xf>
    <xf numFmtId="0" fontId="38" fillId="38" borderId="0" xfId="1" applyFont="1" applyFill="1" applyAlignment="1">
      <alignment horizontal="left" wrapText="1"/>
    </xf>
    <xf numFmtId="164" fontId="38" fillId="38" borderId="0" xfId="1" applyNumberFormat="1" applyFont="1" applyFill="1" applyAlignment="1">
      <alignment horizontal="center" wrapText="1"/>
    </xf>
    <xf numFmtId="0" fontId="23" fillId="0" borderId="0" xfId="0" applyFont="1" applyAlignment="1">
      <alignment wrapText="1"/>
    </xf>
    <xf numFmtId="164" fontId="16" fillId="0" borderId="0" xfId="0" applyNumberFormat="1" applyFont="1"/>
    <xf numFmtId="164" fontId="38" fillId="8" borderId="10" xfId="1" applyNumberFormat="1" applyFont="1" applyFill="1" applyBorder="1"/>
    <xf numFmtId="0" fontId="23" fillId="38" borderId="0" xfId="0" applyFont="1" applyFill="1" applyAlignment="1">
      <alignment wrapText="1"/>
    </xf>
    <xf numFmtId="164" fontId="16" fillId="38" borderId="0" xfId="0" applyNumberFormat="1" applyFont="1" applyFill="1"/>
    <xf numFmtId="164" fontId="11" fillId="38" borderId="0" xfId="0" applyNumberFormat="1" applyFont="1" applyFill="1" applyAlignment="1">
      <alignment horizontal="center"/>
    </xf>
    <xf numFmtId="164" fontId="23" fillId="0" borderId="10" xfId="5" applyNumberFormat="1" applyFont="1" applyBorder="1"/>
    <xf numFmtId="0" fontId="23" fillId="38" borderId="0" xfId="1" applyFont="1" applyFill="1" applyAlignment="1">
      <alignment wrapText="1"/>
    </xf>
    <xf numFmtId="0" fontId="38" fillId="0" borderId="0" xfId="1" applyFont="1" applyAlignment="1">
      <alignment horizontal="center" wrapText="1"/>
    </xf>
    <xf numFmtId="164" fontId="38" fillId="0" borderId="0" xfId="1" applyNumberFormat="1" applyFont="1" applyAlignment="1">
      <alignment horizontal="center" wrapText="1"/>
    </xf>
    <xf numFmtId="9" fontId="0" fillId="0" borderId="0" xfId="3" applyNumberFormat="1" applyFont="1" applyFill="1"/>
    <xf numFmtId="164" fontId="0" fillId="0" borderId="0" xfId="3" applyNumberFormat="1" applyFont="1" applyFill="1"/>
    <xf numFmtId="9" fontId="16" fillId="0" borderId="0" xfId="4" applyFont="1" applyFill="1"/>
    <xf numFmtId="0" fontId="23" fillId="0" borderId="0" xfId="1" applyFont="1" applyAlignment="1">
      <alignment horizontal="left" wrapText="1" indent="3"/>
    </xf>
    <xf numFmtId="164" fontId="16" fillId="0" borderId="0" xfId="1" applyNumberFormat="1" applyFont="1"/>
    <xf numFmtId="0" fontId="23" fillId="0" borderId="0" xfId="1" quotePrefix="1" applyFont="1" applyAlignment="1">
      <alignment wrapText="1"/>
    </xf>
    <xf numFmtId="164" fontId="23" fillId="0" borderId="62" xfId="1" applyNumberFormat="1" applyFont="1" applyBorder="1"/>
    <xf numFmtId="164" fontId="23" fillId="0" borderId="65" xfId="1" applyNumberFormat="1" applyFont="1" applyBorder="1"/>
    <xf numFmtId="167" fontId="23" fillId="0" borderId="0" xfId="5" applyNumberFormat="1" applyFont="1" applyAlignment="1">
      <alignment horizontal="left"/>
    </xf>
    <xf numFmtId="0" fontId="0" fillId="37" borderId="0" xfId="0" applyFill="1"/>
    <xf numFmtId="0" fontId="38" fillId="0" borderId="10" xfId="5" applyFont="1" applyBorder="1"/>
    <xf numFmtId="164" fontId="0" fillId="0" borderId="10" xfId="3" applyNumberFormat="1" applyFont="1" applyBorder="1"/>
    <xf numFmtId="0" fontId="23" fillId="0" borderId="10" xfId="5" applyFont="1" applyBorder="1"/>
    <xf numFmtId="164" fontId="23" fillId="39" borderId="0" xfId="1" applyNumberFormat="1" applyFont="1" applyFill="1"/>
    <xf numFmtId="0" fontId="38" fillId="8" borderId="10" xfId="0" applyFont="1" applyFill="1" applyBorder="1" applyAlignment="1">
      <alignment wrapText="1"/>
    </xf>
    <xf numFmtId="164" fontId="47" fillId="8" borderId="10" xfId="0" applyNumberFormat="1" applyFont="1" applyFill="1" applyBorder="1"/>
    <xf numFmtId="0" fontId="38" fillId="8" borderId="10" xfId="1" applyFont="1" applyFill="1" applyBorder="1" applyAlignment="1">
      <alignment wrapText="1"/>
    </xf>
    <xf numFmtId="164" fontId="38" fillId="8" borderId="10" xfId="5" applyNumberFormat="1" applyFont="1" applyFill="1" applyBorder="1"/>
    <xf numFmtId="0" fontId="38" fillId="5" borderId="0" xfId="5" applyFont="1" applyFill="1"/>
    <xf numFmtId="37" fontId="23" fillId="5" borderId="0" xfId="5" applyNumberFormat="1" applyFont="1" applyFill="1"/>
    <xf numFmtId="165" fontId="23" fillId="0" borderId="0" xfId="3" applyNumberFormat="1" applyFont="1" applyAlignment="1">
      <alignment horizontal="left" indent="1"/>
    </xf>
    <xf numFmtId="165" fontId="0" fillId="0" borderId="0" xfId="3" applyNumberFormat="1" applyFont="1" applyAlignment="1">
      <alignment horizontal="left" indent="1"/>
    </xf>
    <xf numFmtId="0" fontId="38" fillId="36" borderId="10" xfId="5" applyFont="1" applyFill="1" applyBorder="1"/>
    <xf numFmtId="164" fontId="19" fillId="8" borderId="10" xfId="3" applyNumberFormat="1" applyFont="1" applyFill="1" applyBorder="1"/>
    <xf numFmtId="38" fontId="19" fillId="36" borderId="10" xfId="3" applyNumberFormat="1" applyFont="1" applyFill="1" applyBorder="1"/>
    <xf numFmtId="165" fontId="10" fillId="8" borderId="10" xfId="3" applyNumberFormat="1" applyFont="1" applyFill="1" applyBorder="1"/>
    <xf numFmtId="37" fontId="19" fillId="8" borderId="10" xfId="5" applyNumberFormat="1" applyFont="1" applyFill="1" applyBorder="1"/>
    <xf numFmtId="0" fontId="38" fillId="8" borderId="9" xfId="5" applyFont="1" applyFill="1" applyBorder="1"/>
    <xf numFmtId="0" fontId="38" fillId="8" borderId="3" xfId="5" applyFont="1" applyFill="1" applyBorder="1"/>
    <xf numFmtId="10" fontId="39" fillId="0" borderId="0" xfId="5" applyNumberFormat="1" applyFont="1"/>
    <xf numFmtId="0" fontId="23" fillId="38" borderId="61" xfId="1" applyFont="1" applyFill="1" applyBorder="1" applyAlignment="1">
      <alignment wrapText="1"/>
    </xf>
    <xf numFmtId="0" fontId="23" fillId="38" borderId="64" xfId="1" applyFont="1" applyFill="1" applyBorder="1" applyAlignment="1">
      <alignment wrapText="1"/>
    </xf>
    <xf numFmtId="174" fontId="23" fillId="0" borderId="0" xfId="5" applyNumberFormat="1" applyFont="1"/>
    <xf numFmtId="10" fontId="23" fillId="0" borderId="0" xfId="1" applyNumberFormat="1" applyFont="1"/>
    <xf numFmtId="10" fontId="0" fillId="0" borderId="0" xfId="1" applyNumberFormat="1" applyFont="1"/>
    <xf numFmtId="0" fontId="13" fillId="0" borderId="0" xfId="0" applyFont="1"/>
    <xf numFmtId="0" fontId="3" fillId="0" borderId="0" xfId="15"/>
    <xf numFmtId="44" fontId="0" fillId="0" borderId="0" xfId="16" applyFont="1" applyBorder="1"/>
    <xf numFmtId="44" fontId="3" fillId="0" borderId="0" xfId="15" applyNumberFormat="1"/>
    <xf numFmtId="44" fontId="51" fillId="0" borderId="0" xfId="16" applyFont="1" applyBorder="1"/>
    <xf numFmtId="44" fontId="52" fillId="0" borderId="0" xfId="16" applyFont="1" applyBorder="1"/>
    <xf numFmtId="8" fontId="3" fillId="41" borderId="70" xfId="15" applyNumberFormat="1" applyFill="1" applyBorder="1"/>
    <xf numFmtId="8" fontId="3" fillId="41" borderId="22" xfId="15" applyNumberFormat="1" applyFill="1" applyBorder="1"/>
    <xf numFmtId="8" fontId="3" fillId="41" borderId="71" xfId="15" applyNumberFormat="1" applyFill="1" applyBorder="1"/>
    <xf numFmtId="44" fontId="50" fillId="0" borderId="0" xfId="16" applyFont="1" applyBorder="1"/>
    <xf numFmtId="0" fontId="58" fillId="0" borderId="0" xfId="15" applyFont="1" applyAlignment="1">
      <alignment horizontal="left" vertical="center" indent="3"/>
    </xf>
    <xf numFmtId="0" fontId="60" fillId="0" borderId="0" xfId="15" applyFont="1"/>
    <xf numFmtId="0" fontId="48" fillId="0" borderId="0" xfId="0" applyFont="1" applyAlignment="1">
      <alignment horizontal="center" wrapText="1"/>
    </xf>
    <xf numFmtId="0" fontId="61" fillId="36" borderId="12" xfId="7" applyNumberFormat="1" applyFont="1" applyFill="1" applyBorder="1" applyAlignment="1">
      <alignment horizontal="center" wrapText="1"/>
    </xf>
    <xf numFmtId="0" fontId="48" fillId="36" borderId="0" xfId="0" applyFont="1" applyFill="1" applyAlignment="1">
      <alignment horizontal="center" wrapText="1"/>
    </xf>
    <xf numFmtId="0" fontId="62" fillId="36" borderId="38" xfId="0" applyFont="1" applyFill="1" applyBorder="1" applyAlignment="1">
      <alignment horizontal="center" wrapText="1"/>
    </xf>
    <xf numFmtId="0" fontId="62" fillId="36" borderId="72" xfId="0" applyFont="1" applyFill="1" applyBorder="1" applyAlignment="1">
      <alignment horizontal="center" wrapText="1"/>
    </xf>
    <xf numFmtId="0" fontId="62" fillId="36" borderId="73" xfId="0" applyFont="1" applyFill="1" applyBorder="1" applyAlignment="1">
      <alignment horizontal="center" wrapText="1"/>
    </xf>
    <xf numFmtId="0" fontId="62" fillId="36" borderId="54" xfId="0" applyFont="1" applyFill="1" applyBorder="1" applyAlignment="1">
      <alignment horizontal="center" wrapText="1"/>
    </xf>
    <xf numFmtId="0" fontId="62" fillId="36" borderId="11" xfId="0" applyFont="1" applyFill="1" applyBorder="1" applyAlignment="1">
      <alignment horizontal="center" vertical="center" wrapText="1"/>
    </xf>
    <xf numFmtId="9" fontId="62" fillId="36" borderId="11" xfId="0" applyNumberFormat="1" applyFont="1" applyFill="1" applyBorder="1" applyAlignment="1">
      <alignment horizontal="center" wrapText="1"/>
    </xf>
    <xf numFmtId="0" fontId="62" fillId="36" borderId="11" xfId="0" applyFont="1" applyFill="1" applyBorder="1" applyAlignment="1">
      <alignment horizontal="center" wrapText="1"/>
    </xf>
    <xf numFmtId="177" fontId="62" fillId="36" borderId="11" xfId="18" applyNumberFormat="1" applyFont="1" applyFill="1" applyBorder="1" applyAlignment="1">
      <alignment horizontal="center" wrapText="1"/>
    </xf>
    <xf numFmtId="0" fontId="62" fillId="36" borderId="74" xfId="0" applyFont="1" applyFill="1" applyBorder="1" applyAlignment="1">
      <alignment horizontal="center" wrapText="1"/>
    </xf>
    <xf numFmtId="0" fontId="62" fillId="36" borderId="1" xfId="0" applyFont="1" applyFill="1" applyBorder="1" applyAlignment="1">
      <alignment horizontal="center" wrapText="1"/>
    </xf>
    <xf numFmtId="177" fontId="62" fillId="36" borderId="74" xfId="18" applyNumberFormat="1" applyFont="1" applyFill="1" applyBorder="1" applyAlignment="1">
      <alignment horizontal="center" wrapText="1"/>
    </xf>
    <xf numFmtId="0" fontId="62" fillId="17" borderId="0" xfId="0" applyFont="1" applyFill="1" applyAlignment="1">
      <alignment horizontal="center" wrapText="1"/>
    </xf>
    <xf numFmtId="0" fontId="62" fillId="0" borderId="0" xfId="0" applyFont="1" applyAlignment="1">
      <alignment horizontal="center" wrapText="1"/>
    </xf>
    <xf numFmtId="0" fontId="62" fillId="36" borderId="11" xfId="0" applyFont="1" applyFill="1" applyBorder="1" applyAlignment="1">
      <alignment horizontal="right" wrapText="1"/>
    </xf>
    <xf numFmtId="177" fontId="62" fillId="36" borderId="11" xfId="0" applyNumberFormat="1" applyFont="1" applyFill="1" applyBorder="1" applyAlignment="1">
      <alignment horizontal="center" wrapText="1"/>
    </xf>
    <xf numFmtId="9" fontId="0" fillId="0" borderId="1" xfId="0" applyNumberFormat="1" applyBorder="1"/>
    <xf numFmtId="0" fontId="48" fillId="0" borderId="0" xfId="0" applyFont="1" applyAlignment="1">
      <alignment horizontal="right"/>
    </xf>
    <xf numFmtId="6" fontId="48" fillId="0" borderId="0" xfId="0" applyNumberFormat="1" applyFont="1"/>
    <xf numFmtId="0" fontId="48" fillId="0" borderId="0" xfId="0" applyFont="1"/>
    <xf numFmtId="177" fontId="48" fillId="0" borderId="0" xfId="9" applyNumberFormat="1" applyFont="1"/>
    <xf numFmtId="1" fontId="48" fillId="0" borderId="0" xfId="9" applyNumberFormat="1" applyFont="1"/>
    <xf numFmtId="0" fontId="48" fillId="0" borderId="0" xfId="0" applyFont="1" applyAlignment="1">
      <alignment horizontal="right" wrapText="1"/>
    </xf>
    <xf numFmtId="2" fontId="48" fillId="0" borderId="0" xfId="0" applyNumberFormat="1" applyFont="1" applyAlignment="1">
      <alignment horizontal="center"/>
    </xf>
    <xf numFmtId="166" fontId="48" fillId="0" borderId="0" xfId="0" applyNumberFormat="1" applyFont="1" applyAlignment="1">
      <alignment horizontal="center"/>
    </xf>
    <xf numFmtId="177" fontId="0" fillId="0" borderId="0" xfId="0" applyNumberFormat="1"/>
    <xf numFmtId="0" fontId="48" fillId="42" borderId="0" xfId="0" applyFont="1" applyFill="1" applyAlignment="1">
      <alignment horizontal="left" vertical="top" wrapText="1"/>
    </xf>
    <xf numFmtId="0" fontId="48" fillId="0" borderId="0" xfId="0" applyFont="1" applyAlignment="1">
      <alignment horizontal="center" vertical="top"/>
    </xf>
    <xf numFmtId="0" fontId="54" fillId="0" borderId="0" xfId="0" applyFont="1" applyAlignment="1">
      <alignment horizontal="center" vertical="top"/>
    </xf>
    <xf numFmtId="0" fontId="48" fillId="0" borderId="0" xfId="0" applyFont="1" applyAlignment="1">
      <alignment horizontal="left" vertical="top" wrapText="1"/>
    </xf>
    <xf numFmtId="0" fontId="63" fillId="0" borderId="0" xfId="0" applyFont="1" applyAlignment="1">
      <alignment horizontal="center" vertical="center" wrapText="1"/>
    </xf>
    <xf numFmtId="0" fontId="63" fillId="0" borderId="0" xfId="7" applyNumberFormat="1" applyFont="1" applyAlignment="1">
      <alignment horizontal="center" vertical="center"/>
    </xf>
    <xf numFmtId="6" fontId="63" fillId="0" borderId="0" xfId="0" applyNumberFormat="1" applyFont="1" applyAlignment="1">
      <alignment horizontal="center" vertical="center"/>
    </xf>
    <xf numFmtId="0" fontId="54" fillId="43" borderId="0" xfId="0" applyFont="1" applyFill="1" applyAlignment="1">
      <alignment horizontal="center" vertical="top"/>
    </xf>
    <xf numFmtId="0" fontId="54" fillId="43" borderId="11" xfId="0" applyFont="1" applyFill="1" applyBorder="1" applyAlignment="1">
      <alignment horizontal="center" vertical="top"/>
    </xf>
    <xf numFmtId="0" fontId="54" fillId="19" borderId="11" xfId="0" applyFont="1" applyFill="1" applyBorder="1" applyAlignment="1">
      <alignment horizontal="center" vertical="top"/>
    </xf>
    <xf numFmtId="0" fontId="48" fillId="43" borderId="11" xfId="0" applyFont="1" applyFill="1" applyBorder="1" applyAlignment="1">
      <alignment horizontal="center" vertical="top"/>
    </xf>
    <xf numFmtId="1" fontId="0" fillId="43" borderId="11" xfId="7" applyNumberFormat="1" applyFont="1" applyFill="1" applyBorder="1" applyAlignment="1">
      <alignment horizontal="center" vertical="top"/>
    </xf>
    <xf numFmtId="0" fontId="0" fillId="44" borderId="11" xfId="7" applyNumberFormat="1" applyFont="1" applyFill="1" applyBorder="1" applyAlignment="1">
      <alignment horizontal="center"/>
    </xf>
    <xf numFmtId="6" fontId="0" fillId="43" borderId="11" xfId="0" applyNumberFormat="1" applyFill="1" applyBorder="1" applyAlignment="1">
      <alignment horizontal="center" vertical="top"/>
    </xf>
    <xf numFmtId="0" fontId="0" fillId="44" borderId="11" xfId="0" applyFill="1" applyBorder="1" applyAlignment="1">
      <alignment horizontal="center" vertical="top"/>
    </xf>
    <xf numFmtId="6" fontId="0" fillId="19" borderId="11" xfId="0" applyNumberFormat="1" applyFill="1" applyBorder="1" applyAlignment="1">
      <alignment horizontal="center" vertical="top"/>
    </xf>
    <xf numFmtId="0" fontId="48" fillId="43" borderId="74" xfId="0" applyFont="1" applyFill="1" applyBorder="1" applyAlignment="1">
      <alignment horizontal="center" vertical="top" wrapText="1"/>
    </xf>
    <xf numFmtId="0" fontId="0" fillId="44" borderId="74" xfId="7" applyNumberFormat="1" applyFont="1" applyFill="1" applyBorder="1" applyAlignment="1">
      <alignment horizontal="center"/>
    </xf>
    <xf numFmtId="164" fontId="0" fillId="44" borderId="74" xfId="7" applyNumberFormat="1" applyFont="1" applyFill="1" applyBorder="1" applyAlignment="1">
      <alignment horizontal="center" vertical="top"/>
    </xf>
    <xf numFmtId="0" fontId="0" fillId="44" borderId="74" xfId="0" applyFill="1" applyBorder="1" applyAlignment="1">
      <alignment horizontal="center" vertical="top"/>
    </xf>
    <xf numFmtId="6" fontId="0" fillId="19" borderId="74" xfId="0" applyNumberFormat="1" applyFill="1" applyBorder="1" applyAlignment="1">
      <alignment horizontal="center" vertical="top"/>
    </xf>
    <xf numFmtId="0" fontId="48" fillId="0" borderId="0" xfId="0" applyFont="1" applyAlignment="1">
      <alignment horizontal="center" vertical="top" wrapText="1"/>
    </xf>
    <xf numFmtId="0" fontId="61" fillId="0" borderId="0" xfId="0" applyFont="1" applyAlignment="1">
      <alignment horizontal="right" vertical="top"/>
    </xf>
    <xf numFmtId="6" fontId="62" fillId="19" borderId="11" xfId="0" applyNumberFormat="1" applyFont="1" applyFill="1" applyBorder="1" applyAlignment="1">
      <alignment horizontal="center" vertical="top"/>
    </xf>
    <xf numFmtId="43" fontId="48" fillId="0" borderId="0" xfId="0" applyNumberFormat="1" applyFont="1" applyAlignment="1">
      <alignment horizontal="center" vertical="top"/>
    </xf>
    <xf numFmtId="164" fontId="0" fillId="0" borderId="0" xfId="7" applyNumberFormat="1" applyFont="1" applyAlignment="1">
      <alignment horizontal="center" vertical="top"/>
    </xf>
    <xf numFmtId="1" fontId="0" fillId="0" borderId="0" xfId="0" applyNumberFormat="1" applyAlignment="1">
      <alignment horizontal="center" vertical="top"/>
    </xf>
    <xf numFmtId="6" fontId="48" fillId="0" borderId="0" xfId="0" applyNumberFormat="1" applyFont="1" applyAlignment="1">
      <alignment horizontal="center" vertical="top"/>
    </xf>
    <xf numFmtId="9" fontId="62" fillId="17" borderId="0" xfId="0" applyNumberFormat="1" applyFont="1" applyFill="1" applyAlignment="1">
      <alignment horizontal="center" wrapText="1"/>
    </xf>
    <xf numFmtId="37" fontId="11" fillId="0" borderId="0" xfId="0" applyNumberFormat="1" applyFont="1"/>
    <xf numFmtId="0" fontId="48" fillId="0" borderId="0" xfId="0" applyFont="1" applyAlignment="1">
      <alignment wrapText="1"/>
    </xf>
    <xf numFmtId="1" fontId="0" fillId="43" borderId="11" xfId="7" applyNumberFormat="1" applyFont="1" applyFill="1" applyBorder="1" applyAlignment="1">
      <alignment horizontal="center"/>
    </xf>
    <xf numFmtId="43" fontId="48" fillId="0" borderId="0" xfId="0" applyNumberFormat="1" applyFont="1"/>
    <xf numFmtId="0" fontId="23" fillId="0" borderId="0" xfId="5" applyFont="1" applyAlignment="1">
      <alignment horizontal="left" indent="2"/>
    </xf>
    <xf numFmtId="2" fontId="0" fillId="45" borderId="77" xfId="0" applyNumberFormat="1" applyFill="1" applyBorder="1"/>
    <xf numFmtId="2" fontId="0" fillId="45" borderId="78" xfId="0" applyNumberFormat="1" applyFill="1" applyBorder="1"/>
    <xf numFmtId="0" fontId="0" fillId="0" borderId="79" xfId="0" applyBorder="1"/>
    <xf numFmtId="2" fontId="0" fillId="0" borderId="80" xfId="0" applyNumberFormat="1" applyBorder="1"/>
    <xf numFmtId="2" fontId="0" fillId="0" borderId="81" xfId="0" applyNumberFormat="1" applyBorder="1"/>
    <xf numFmtId="2" fontId="0" fillId="6" borderId="0" xfId="0" applyNumberFormat="1" applyFill="1"/>
    <xf numFmtId="2" fontId="0" fillId="0" borderId="82" xfId="0" applyNumberFormat="1" applyBorder="1"/>
    <xf numFmtId="0" fontId="23" fillId="0" borderId="14" xfId="1" applyFont="1" applyBorder="1" applyAlignment="1">
      <alignment wrapText="1"/>
    </xf>
    <xf numFmtId="164" fontId="23" fillId="0" borderId="15" xfId="1" applyNumberFormat="1" applyFont="1" applyBorder="1"/>
    <xf numFmtId="164" fontId="0" fillId="0" borderId="15" xfId="3" applyNumberFormat="1" applyFont="1" applyBorder="1"/>
    <xf numFmtId="164" fontId="0" fillId="0" borderId="16" xfId="3" applyNumberFormat="1" applyFont="1" applyBorder="1"/>
    <xf numFmtId="0" fontId="23" fillId="0" borderId="17" xfId="1" applyFont="1" applyBorder="1" applyAlignment="1">
      <alignment wrapText="1"/>
    </xf>
    <xf numFmtId="164" fontId="0" fillId="0" borderId="13" xfId="7" applyNumberFormat="1" applyFont="1" applyBorder="1"/>
    <xf numFmtId="0" fontId="23" fillId="8" borderId="18" xfId="1" applyFont="1" applyFill="1" applyBorder="1" applyAlignment="1">
      <alignment wrapText="1"/>
    </xf>
    <xf numFmtId="164" fontId="23" fillId="8" borderId="19" xfId="1" applyNumberFormat="1" applyFont="1" applyFill="1" applyBorder="1"/>
    <xf numFmtId="164" fontId="23" fillId="8" borderId="20" xfId="1" applyNumberFormat="1" applyFont="1" applyFill="1" applyBorder="1"/>
    <xf numFmtId="10" fontId="0" fillId="0" borderId="0" xfId="8" applyNumberFormat="1" applyFont="1" applyBorder="1"/>
    <xf numFmtId="0" fontId="10" fillId="0" borderId="34" xfId="0" applyFont="1" applyBorder="1" applyAlignment="1">
      <alignment wrapText="1"/>
    </xf>
    <xf numFmtId="0" fontId="10" fillId="0" borderId="12" xfId="0" applyFont="1" applyBorder="1" applyAlignment="1">
      <alignment wrapText="1"/>
    </xf>
    <xf numFmtId="0" fontId="0" fillId="0" borderId="26" xfId="0" applyBorder="1"/>
    <xf numFmtId="0" fontId="0" fillId="0" borderId="23" xfId="0" applyBorder="1"/>
    <xf numFmtId="0" fontId="0" fillId="0" borderId="12" xfId="0" applyBorder="1" applyAlignment="1">
      <alignment wrapText="1"/>
    </xf>
    <xf numFmtId="44" fontId="11" fillId="0" borderId="0" xfId="9" applyFont="1" applyFill="1" applyBorder="1"/>
    <xf numFmtId="10" fontId="11" fillId="0" borderId="32" xfId="0" applyNumberFormat="1" applyFont="1" applyBorder="1"/>
    <xf numFmtId="0" fontId="29" fillId="0" borderId="0" xfId="0" applyFont="1"/>
    <xf numFmtId="0" fontId="11" fillId="17" borderId="0" xfId="0" applyFont="1" applyFill="1"/>
    <xf numFmtId="0" fontId="13" fillId="0" borderId="1" xfId="0" applyFont="1" applyBorder="1"/>
    <xf numFmtId="0" fontId="13" fillId="45" borderId="76" xfId="0" applyFont="1" applyFill="1" applyBorder="1"/>
    <xf numFmtId="0" fontId="34" fillId="0" borderId="6" xfId="1" applyFont="1" applyBorder="1" applyAlignment="1">
      <alignment horizontal="left" indent="2"/>
    </xf>
    <xf numFmtId="0" fontId="34" fillId="0" borderId="6" xfId="1" applyFont="1" applyBorder="1" applyAlignment="1">
      <alignment horizontal="left" wrapText="1" indent="2"/>
    </xf>
    <xf numFmtId="0" fontId="23" fillId="0" borderId="5" xfId="1" applyFont="1" applyBorder="1"/>
    <xf numFmtId="164" fontId="27" fillId="38" borderId="0" xfId="3" applyNumberFormat="1" applyFont="1" applyFill="1" applyBorder="1"/>
    <xf numFmtId="164" fontId="27" fillId="38" borderId="32" xfId="3" applyNumberFormat="1" applyFont="1" applyFill="1" applyBorder="1"/>
    <xf numFmtId="164" fontId="10" fillId="38" borderId="42" xfId="3" applyNumberFormat="1" applyFont="1" applyFill="1" applyBorder="1"/>
    <xf numFmtId="0" fontId="68" fillId="0" borderId="0" xfId="0" applyFont="1"/>
    <xf numFmtId="14" fontId="68" fillId="0" borderId="0" xfId="0" applyNumberFormat="1" applyFont="1"/>
    <xf numFmtId="14" fontId="0" fillId="0" borderId="0" xfId="0" applyNumberFormat="1"/>
    <xf numFmtId="164" fontId="27" fillId="38" borderId="5" xfId="3" applyNumberFormat="1" applyFont="1" applyFill="1" applyBorder="1"/>
    <xf numFmtId="164" fontId="27" fillId="38" borderId="33" xfId="3" applyNumberFormat="1" applyFont="1" applyFill="1" applyBorder="1"/>
    <xf numFmtId="164" fontId="10" fillId="38" borderId="0" xfId="0" applyNumberFormat="1" applyFont="1" applyFill="1"/>
    <xf numFmtId="164" fontId="10" fillId="38" borderId="32" xfId="3" applyNumberFormat="1" applyFont="1" applyFill="1" applyBorder="1"/>
    <xf numFmtId="164" fontId="10" fillId="38" borderId="43" xfId="3" applyNumberFormat="1" applyFont="1" applyFill="1" applyBorder="1"/>
    <xf numFmtId="0" fontId="38" fillId="0" borderId="83" xfId="1" applyFont="1" applyBorder="1" applyAlignment="1">
      <alignment wrapText="1"/>
    </xf>
    <xf numFmtId="164" fontId="23" fillId="0" borderId="2" xfId="1" applyNumberFormat="1" applyFont="1" applyBorder="1"/>
    <xf numFmtId="0" fontId="62" fillId="0" borderId="0" xfId="0" applyFont="1" applyAlignment="1">
      <alignment horizontal="right" wrapText="1"/>
    </xf>
    <xf numFmtId="177" fontId="62" fillId="0" borderId="0" xfId="0" applyNumberFormat="1" applyFont="1" applyAlignment="1">
      <alignment horizontal="center" wrapText="1"/>
    </xf>
    <xf numFmtId="0" fontId="62" fillId="36" borderId="34" xfId="0" applyFont="1" applyFill="1" applyBorder="1" applyAlignment="1">
      <alignment horizontal="center" vertical="center" wrapText="1"/>
    </xf>
    <xf numFmtId="0" fontId="62" fillId="36" borderId="34" xfId="0" applyFont="1" applyFill="1" applyBorder="1" applyAlignment="1">
      <alignment horizontal="center" wrapText="1"/>
    </xf>
    <xf numFmtId="1" fontId="62" fillId="17" borderId="0" xfId="0" applyNumberFormat="1" applyFont="1" applyFill="1" applyAlignment="1">
      <alignment horizontal="center" wrapText="1"/>
    </xf>
    <xf numFmtId="3" fontId="62" fillId="36" borderId="34" xfId="0" applyNumberFormat="1" applyFont="1" applyFill="1" applyBorder="1" applyAlignment="1">
      <alignment horizontal="center" wrapText="1"/>
    </xf>
    <xf numFmtId="3" fontId="62" fillId="36" borderId="34" xfId="7" applyNumberFormat="1" applyFont="1" applyFill="1" applyBorder="1" applyAlignment="1">
      <alignment horizontal="center" wrapText="1"/>
    </xf>
    <xf numFmtId="0" fontId="0" fillId="0" borderId="1" xfId="0" applyBorder="1" applyAlignment="1">
      <alignment wrapText="1"/>
    </xf>
    <xf numFmtId="9" fontId="0" fillId="0" borderId="23" xfId="0" applyNumberFormat="1" applyBorder="1"/>
    <xf numFmtId="9" fontId="16" fillId="0" borderId="54" xfId="0" applyNumberFormat="1" applyFont="1" applyBorder="1"/>
    <xf numFmtId="9" fontId="16" fillId="0" borderId="26" xfId="0" applyNumberFormat="1" applyFont="1" applyBorder="1"/>
    <xf numFmtId="9" fontId="0" fillId="0" borderId="26" xfId="0" applyNumberFormat="1" applyBorder="1"/>
    <xf numFmtId="0" fontId="0" fillId="0" borderId="27" xfId="0" applyBorder="1"/>
    <xf numFmtId="0" fontId="0" fillId="0" borderId="84" xfId="0" applyBorder="1"/>
    <xf numFmtId="0" fontId="12" fillId="0" borderId="0" xfId="6" applyAlignment="1">
      <alignment horizontal="center" wrapText="1"/>
    </xf>
    <xf numFmtId="0" fontId="10" fillId="0" borderId="48" xfId="0" applyFont="1" applyBorder="1" applyAlignment="1">
      <alignment wrapText="1"/>
    </xf>
    <xf numFmtId="0" fontId="10" fillId="0" borderId="24" xfId="0" applyFont="1" applyBorder="1" applyAlignment="1">
      <alignment wrapText="1"/>
    </xf>
    <xf numFmtId="0" fontId="10" fillId="0" borderId="1" xfId="0" applyFont="1" applyBorder="1" applyAlignment="1">
      <alignment wrapText="1"/>
    </xf>
    <xf numFmtId="0" fontId="10" fillId="0" borderId="29" xfId="0" applyFont="1" applyBorder="1" applyAlignment="1">
      <alignment wrapText="1"/>
    </xf>
    <xf numFmtId="3" fontId="0" fillId="0" borderId="0" xfId="0" applyNumberFormat="1" applyAlignment="1">
      <alignment horizontal="center"/>
    </xf>
    <xf numFmtId="2" fontId="0" fillId="0" borderId="80" xfId="0" applyNumberFormat="1" applyBorder="1" applyAlignment="1">
      <alignment horizontal="center"/>
    </xf>
    <xf numFmtId="1" fontId="62" fillId="36" borderId="34" xfId="0" applyNumberFormat="1" applyFont="1" applyFill="1" applyBorder="1" applyAlignment="1">
      <alignment horizontal="center" wrapText="1"/>
    </xf>
    <xf numFmtId="44" fontId="62" fillId="36" borderId="11" xfId="18" applyFont="1" applyFill="1" applyBorder="1" applyAlignment="1">
      <alignment horizontal="center" wrapText="1"/>
    </xf>
    <xf numFmtId="177" fontId="62" fillId="36" borderId="34" xfId="18" applyNumberFormat="1" applyFont="1" applyFill="1" applyBorder="1" applyAlignment="1">
      <alignment horizontal="center" wrapText="1"/>
    </xf>
    <xf numFmtId="177" fontId="62" fillId="8" borderId="1" xfId="18" applyNumberFormat="1" applyFont="1" applyFill="1" applyBorder="1" applyAlignment="1">
      <alignment horizontal="center" wrapText="1"/>
    </xf>
    <xf numFmtId="1" fontId="62" fillId="8" borderId="34" xfId="0" applyNumberFormat="1" applyFont="1" applyFill="1" applyBorder="1" applyAlignment="1">
      <alignment horizontal="center" wrapText="1"/>
    </xf>
    <xf numFmtId="1" fontId="62" fillId="8" borderId="1" xfId="0" applyNumberFormat="1" applyFont="1" applyFill="1" applyBorder="1" applyAlignment="1">
      <alignment horizontal="center" wrapText="1"/>
    </xf>
    <xf numFmtId="0" fontId="62" fillId="8" borderId="74" xfId="0" applyFont="1" applyFill="1" applyBorder="1" applyAlignment="1">
      <alignment horizontal="center" wrapText="1"/>
    </xf>
    <xf numFmtId="44" fontId="62" fillId="8" borderId="11" xfId="18" applyFont="1" applyFill="1" applyBorder="1" applyAlignment="1">
      <alignment horizontal="center" wrapText="1"/>
    </xf>
    <xf numFmtId="177" fontId="62" fillId="8" borderId="34" xfId="18" applyNumberFormat="1" applyFont="1" applyFill="1" applyBorder="1" applyAlignment="1">
      <alignment horizontal="center" wrapText="1"/>
    </xf>
    <xf numFmtId="0" fontId="62" fillId="8" borderId="11" xfId="0" applyFont="1" applyFill="1" applyBorder="1" applyAlignment="1">
      <alignment horizontal="center" wrapText="1"/>
    </xf>
    <xf numFmtId="0" fontId="73" fillId="8" borderId="11" xfId="0" applyFont="1" applyFill="1" applyBorder="1" applyAlignment="1">
      <alignment horizontal="center" wrapText="1"/>
    </xf>
    <xf numFmtId="1" fontId="73" fillId="8" borderId="34" xfId="0" applyNumberFormat="1" applyFont="1" applyFill="1" applyBorder="1" applyAlignment="1">
      <alignment horizontal="center" wrapText="1"/>
    </xf>
    <xf numFmtId="0" fontId="18" fillId="0" borderId="0" xfId="0" applyFont="1" applyAlignment="1">
      <alignment vertical="top" wrapText="1"/>
    </xf>
    <xf numFmtId="164" fontId="0" fillId="36" borderId="3" xfId="0" applyNumberFormat="1" applyFill="1" applyBorder="1"/>
    <xf numFmtId="177" fontId="0" fillId="36" borderId="3" xfId="9" applyNumberFormat="1" applyFont="1" applyFill="1" applyBorder="1"/>
    <xf numFmtId="0" fontId="10" fillId="36" borderId="3" xfId="0" applyFont="1" applyFill="1" applyBorder="1" applyAlignment="1">
      <alignment wrapText="1"/>
    </xf>
    <xf numFmtId="0" fontId="10" fillId="0" borderId="0" xfId="0" applyFont="1" applyAlignment="1">
      <alignment horizontal="right"/>
    </xf>
    <xf numFmtId="0" fontId="10" fillId="9" borderId="35" xfId="0" applyFont="1" applyFill="1" applyBorder="1" applyAlignment="1">
      <alignment wrapText="1"/>
    </xf>
    <xf numFmtId="0" fontId="10" fillId="9" borderId="34" xfId="0" applyFont="1" applyFill="1" applyBorder="1" applyAlignment="1">
      <alignment wrapText="1"/>
    </xf>
    <xf numFmtId="0" fontId="10" fillId="9" borderId="12" xfId="0" applyFont="1" applyFill="1" applyBorder="1" applyAlignment="1">
      <alignment wrapText="1"/>
    </xf>
    <xf numFmtId="10" fontId="0" fillId="9" borderId="0" xfId="8" applyNumberFormat="1" applyFont="1" applyFill="1" applyBorder="1"/>
    <xf numFmtId="10" fontId="0" fillId="9" borderId="26" xfId="0" applyNumberFormat="1" applyFill="1" applyBorder="1"/>
    <xf numFmtId="10" fontId="0" fillId="9" borderId="39" xfId="8" applyNumberFormat="1" applyFont="1" applyFill="1" applyBorder="1"/>
    <xf numFmtId="10" fontId="0" fillId="9" borderId="1" xfId="8" applyNumberFormat="1" applyFont="1" applyFill="1" applyBorder="1"/>
    <xf numFmtId="10" fontId="0" fillId="9" borderId="23" xfId="0" applyNumberFormat="1" applyFill="1" applyBorder="1"/>
    <xf numFmtId="0" fontId="62" fillId="8" borderId="34" xfId="0" applyFont="1" applyFill="1" applyBorder="1" applyAlignment="1">
      <alignment horizontal="center" wrapText="1"/>
    </xf>
    <xf numFmtId="9" fontId="62" fillId="8" borderId="11" xfId="0" applyNumberFormat="1" applyFont="1" applyFill="1" applyBorder="1" applyAlignment="1">
      <alignment horizontal="center" wrapText="1"/>
    </xf>
    <xf numFmtId="3" fontId="62" fillId="8" borderId="34" xfId="0" applyNumberFormat="1" applyFont="1" applyFill="1" applyBorder="1" applyAlignment="1">
      <alignment horizontal="center" wrapText="1"/>
    </xf>
    <xf numFmtId="177" fontId="62" fillId="8" borderId="11" xfId="18" applyNumberFormat="1" applyFont="1" applyFill="1" applyBorder="1" applyAlignment="1">
      <alignment horizontal="center" wrapText="1"/>
    </xf>
    <xf numFmtId="43" fontId="62" fillId="8" borderId="34" xfId="18" applyNumberFormat="1" applyFont="1" applyFill="1" applyBorder="1" applyAlignment="1">
      <alignment horizontal="center" wrapText="1"/>
    </xf>
    <xf numFmtId="43" fontId="62" fillId="36" borderId="11" xfId="18" applyNumberFormat="1" applyFont="1" applyFill="1" applyBorder="1" applyAlignment="1">
      <alignment horizontal="center" wrapText="1"/>
    </xf>
    <xf numFmtId="8" fontId="74" fillId="0" borderId="0" xfId="0" applyNumberFormat="1" applyFont="1"/>
    <xf numFmtId="177" fontId="62" fillId="36" borderId="12" xfId="18" applyNumberFormat="1" applyFont="1" applyFill="1" applyBorder="1" applyAlignment="1">
      <alignment horizontal="center" wrapText="1"/>
    </xf>
    <xf numFmtId="0" fontId="0" fillId="0" borderId="19" xfId="0" applyBorder="1"/>
    <xf numFmtId="0" fontId="67" fillId="0" borderId="0" xfId="0" quotePrefix="1" applyFont="1" applyAlignment="1">
      <alignment horizontal="center"/>
    </xf>
    <xf numFmtId="177" fontId="0" fillId="0" borderId="0" xfId="9" applyNumberFormat="1" applyFont="1" applyBorder="1" applyAlignment="1">
      <alignment horizontal="center"/>
    </xf>
    <xf numFmtId="0" fontId="61" fillId="36" borderId="86" xfId="7" applyNumberFormat="1" applyFont="1" applyFill="1" applyBorder="1" applyAlignment="1">
      <alignment horizontal="center" wrapText="1"/>
    </xf>
    <xf numFmtId="0" fontId="62" fillId="36" borderId="17" xfId="0" applyFont="1" applyFill="1" applyBorder="1" applyAlignment="1">
      <alignment horizontal="center" wrapText="1"/>
    </xf>
    <xf numFmtId="0" fontId="62" fillId="36" borderId="93" xfId="0" applyFont="1" applyFill="1" applyBorder="1" applyAlignment="1">
      <alignment horizontal="center" vertical="center" wrapText="1"/>
    </xf>
    <xf numFmtId="0" fontId="62" fillId="8" borderId="93" xfId="0" applyFont="1" applyFill="1" applyBorder="1" applyAlignment="1">
      <alignment horizontal="center" wrapText="1"/>
    </xf>
    <xf numFmtId="0" fontId="62" fillId="36" borderId="93" xfId="0" applyFont="1" applyFill="1" applyBorder="1" applyAlignment="1">
      <alignment horizontal="center" wrapText="1"/>
    </xf>
    <xf numFmtId="0" fontId="62" fillId="36" borderId="94" xfId="0" applyFont="1" applyFill="1" applyBorder="1" applyAlignment="1">
      <alignment horizontal="center" wrapText="1"/>
    </xf>
    <xf numFmtId="0" fontId="62" fillId="17" borderId="17" xfId="0" applyFont="1" applyFill="1" applyBorder="1" applyAlignment="1">
      <alignment horizontal="center" wrapText="1"/>
    </xf>
    <xf numFmtId="0" fontId="62" fillId="17" borderId="18" xfId="0" applyFont="1" applyFill="1" applyBorder="1" applyAlignment="1">
      <alignment horizontal="center" wrapText="1"/>
    </xf>
    <xf numFmtId="0" fontId="62" fillId="17" borderId="19" xfId="0" applyFont="1" applyFill="1" applyBorder="1" applyAlignment="1">
      <alignment horizontal="center" wrapText="1"/>
    </xf>
    <xf numFmtId="0" fontId="62" fillId="36" borderId="95" xfId="0" applyFont="1" applyFill="1" applyBorder="1" applyAlignment="1">
      <alignment horizontal="right" wrapText="1"/>
    </xf>
    <xf numFmtId="177" fontId="62" fillId="36" borderId="95" xfId="0" applyNumberFormat="1" applyFont="1" applyFill="1" applyBorder="1" applyAlignment="1">
      <alignment horizontal="center" wrapText="1"/>
    </xf>
    <xf numFmtId="0" fontId="48" fillId="12" borderId="15" xfId="0" applyFont="1" applyFill="1" applyBorder="1" applyAlignment="1">
      <alignment horizontal="center" wrapText="1"/>
    </xf>
    <xf numFmtId="3" fontId="62" fillId="17" borderId="0" xfId="0" applyNumberFormat="1" applyFont="1" applyFill="1" applyAlignment="1">
      <alignment horizontal="center" wrapText="1"/>
    </xf>
    <xf numFmtId="164" fontId="11" fillId="37" borderId="0" xfId="0" applyNumberFormat="1" applyFont="1" applyFill="1"/>
    <xf numFmtId="164" fontId="0" fillId="37" borderId="0" xfId="0" applyNumberFormat="1" applyFill="1"/>
    <xf numFmtId="9" fontId="38" fillId="8" borderId="10" xfId="8" applyFont="1" applyFill="1" applyBorder="1"/>
    <xf numFmtId="44" fontId="16" fillId="0" borderId="0" xfId="9" applyFont="1"/>
    <xf numFmtId="3" fontId="62" fillId="17" borderId="19" xfId="0" applyNumberFormat="1" applyFont="1" applyFill="1" applyBorder="1" applyAlignment="1">
      <alignment horizontal="center" wrapText="1"/>
    </xf>
    <xf numFmtId="0" fontId="10" fillId="0" borderId="0" xfId="0" applyFont="1" applyAlignment="1">
      <alignment wrapText="1"/>
    </xf>
    <xf numFmtId="44" fontId="48" fillId="0" borderId="0" xfId="0" applyNumberFormat="1" applyFont="1" applyAlignment="1">
      <alignment horizontal="center" wrapText="1"/>
    </xf>
    <xf numFmtId="0" fontId="48" fillId="12" borderId="0" xfId="0" applyFont="1" applyFill="1" applyAlignment="1">
      <alignment horizontal="center" wrapText="1"/>
    </xf>
    <xf numFmtId="0" fontId="62" fillId="36" borderId="0" xfId="0" applyFont="1" applyFill="1" applyAlignment="1">
      <alignment horizontal="center" wrapText="1"/>
    </xf>
    <xf numFmtId="177" fontId="62" fillId="36" borderId="0" xfId="18" applyNumberFormat="1" applyFont="1" applyFill="1" applyBorder="1" applyAlignment="1">
      <alignment horizontal="center" wrapText="1"/>
    </xf>
    <xf numFmtId="177" fontId="62" fillId="8" borderId="0" xfId="18" applyNumberFormat="1" applyFont="1" applyFill="1" applyBorder="1" applyAlignment="1">
      <alignment horizontal="center" wrapText="1"/>
    </xf>
    <xf numFmtId="177" fontId="62" fillId="36" borderId="0" xfId="0" applyNumberFormat="1" applyFont="1" applyFill="1" applyAlignment="1">
      <alignment horizontal="center" wrapText="1"/>
    </xf>
    <xf numFmtId="177" fontId="62" fillId="36" borderId="0" xfId="18" applyNumberFormat="1" applyFont="1" applyFill="1" applyAlignment="1">
      <alignment horizontal="center" wrapText="1"/>
    </xf>
    <xf numFmtId="0" fontId="0" fillId="43" borderId="0" xfId="0" applyFill="1"/>
    <xf numFmtId="0" fontId="0" fillId="43" borderId="0" xfId="0" applyFill="1" applyAlignment="1">
      <alignment horizontal="center"/>
    </xf>
    <xf numFmtId="0" fontId="75" fillId="5" borderId="0" xfId="0" applyFont="1" applyFill="1" applyAlignment="1">
      <alignment horizontal="center"/>
    </xf>
    <xf numFmtId="0" fontId="0" fillId="12" borderId="0" xfId="0" applyFill="1"/>
    <xf numFmtId="0" fontId="15" fillId="5" borderId="0" xfId="0" applyFont="1" applyFill="1" applyAlignment="1">
      <alignment horizontal="center" vertical="center"/>
    </xf>
    <xf numFmtId="0" fontId="15" fillId="5" borderId="0" xfId="0" applyFont="1" applyFill="1" applyAlignment="1">
      <alignment horizontal="left" vertical="center"/>
    </xf>
    <xf numFmtId="0" fontId="10" fillId="0" borderId="10" xfId="0" applyFont="1" applyBorder="1"/>
    <xf numFmtId="0" fontId="15" fillId="5" borderId="0" xfId="0" applyFont="1" applyFill="1" applyAlignment="1">
      <alignment horizontal="right"/>
    </xf>
    <xf numFmtId="0" fontId="15" fillId="5" borderId="0" xfId="0" applyFont="1" applyFill="1" applyAlignment="1">
      <alignment horizontal="right" vertical="center"/>
    </xf>
    <xf numFmtId="2" fontId="15" fillId="5" borderId="0" xfId="0" applyNumberFormat="1" applyFont="1" applyFill="1" applyAlignment="1">
      <alignment horizontal="right"/>
    </xf>
    <xf numFmtId="2" fontId="0" fillId="0" borderId="0" xfId="0" applyNumberFormat="1" applyAlignment="1">
      <alignment horizontal="right"/>
    </xf>
    <xf numFmtId="0" fontId="60" fillId="0" borderId="0" xfId="0" applyFont="1"/>
    <xf numFmtId="164" fontId="0" fillId="36" borderId="3" xfId="11" applyNumberFormat="1" applyFont="1" applyFill="1" applyBorder="1"/>
    <xf numFmtId="0" fontId="10" fillId="36" borderId="12" xfId="0" applyFont="1" applyFill="1" applyBorder="1" applyAlignment="1">
      <alignment horizontal="center"/>
    </xf>
    <xf numFmtId="9" fontId="16" fillId="43" borderId="0" xfId="0" applyNumberFormat="1" applyFont="1" applyFill="1" applyAlignment="1">
      <alignment horizontal="center"/>
    </xf>
    <xf numFmtId="0" fontId="16" fillId="43" borderId="0" xfId="0" applyFont="1" applyFill="1" applyAlignment="1">
      <alignment horizontal="center"/>
    </xf>
    <xf numFmtId="2" fontId="16" fillId="43" borderId="0" xfId="0" applyNumberFormat="1" applyFont="1" applyFill="1" applyAlignment="1">
      <alignment horizontal="center"/>
    </xf>
    <xf numFmtId="0" fontId="0" fillId="43" borderId="10" xfId="0" applyFill="1" applyBorder="1"/>
    <xf numFmtId="2" fontId="0" fillId="43" borderId="0" xfId="0" applyNumberFormat="1" applyFill="1" applyAlignment="1">
      <alignment horizontal="center"/>
    </xf>
    <xf numFmtId="2" fontId="16" fillId="43" borderId="10" xfId="0" applyNumberFormat="1" applyFont="1" applyFill="1" applyBorder="1" applyAlignment="1">
      <alignment horizontal="center"/>
    </xf>
    <xf numFmtId="0" fontId="0" fillId="43" borderId="0" xfId="0" applyFill="1" applyAlignment="1">
      <alignment horizontal="center" vertical="top"/>
    </xf>
    <xf numFmtId="169" fontId="0" fillId="43" borderId="10" xfId="0" applyNumberFormat="1" applyFill="1" applyBorder="1"/>
    <xf numFmtId="0" fontId="11" fillId="37" borderId="0" xfId="0" applyFont="1" applyFill="1" applyAlignment="1">
      <alignment wrapText="1"/>
    </xf>
    <xf numFmtId="9" fontId="16" fillId="43" borderId="0" xfId="8" applyFont="1" applyFill="1" applyAlignment="1">
      <alignment horizontal="center" wrapText="1"/>
    </xf>
    <xf numFmtId="9" fontId="0" fillId="0" borderId="0" xfId="8" applyFont="1"/>
    <xf numFmtId="164" fontId="11" fillId="0" borderId="0" xfId="7" applyNumberFormat="1" applyFont="1"/>
    <xf numFmtId="0" fontId="63" fillId="0" borderId="0" xfId="0" applyFont="1"/>
    <xf numFmtId="0" fontId="0" fillId="41" borderId="0" xfId="0" applyFill="1"/>
    <xf numFmtId="9" fontId="0" fillId="41" borderId="0" xfId="10" applyFont="1" applyFill="1"/>
    <xf numFmtId="1" fontId="16" fillId="0" borderId="0" xfId="0" applyNumberFormat="1" applyFont="1"/>
    <xf numFmtId="10" fontId="0" fillId="10" borderId="2" xfId="0" applyNumberFormat="1" applyFill="1" applyBorder="1"/>
    <xf numFmtId="0" fontId="0" fillId="48" borderId="40" xfId="0" applyFill="1" applyBorder="1"/>
    <xf numFmtId="0" fontId="0" fillId="0" borderId="69" xfId="0" applyBorder="1"/>
    <xf numFmtId="0" fontId="0" fillId="25" borderId="38" xfId="0" applyFill="1" applyBorder="1"/>
    <xf numFmtId="164" fontId="0" fillId="0" borderId="0" xfId="7" applyNumberFormat="1" applyFont="1"/>
    <xf numFmtId="0" fontId="21" fillId="5" borderId="0" xfId="0" applyFont="1" applyFill="1"/>
    <xf numFmtId="10" fontId="0" fillId="0" borderId="0" xfId="8" applyNumberFormat="1" applyFont="1" applyFill="1" applyBorder="1"/>
    <xf numFmtId="0" fontId="38" fillId="0" borderId="0" xfId="0" applyFont="1" applyAlignment="1">
      <alignment wrapText="1"/>
    </xf>
    <xf numFmtId="0" fontId="62" fillId="0" borderId="0" xfId="0" applyFont="1"/>
    <xf numFmtId="0" fontId="78" fillId="0" borderId="98" xfId="19"/>
    <xf numFmtId="170" fontId="78" fillId="0" borderId="98" xfId="19" applyNumberFormat="1"/>
    <xf numFmtId="10" fontId="78" fillId="0" borderId="98" xfId="19" applyNumberFormat="1"/>
    <xf numFmtId="0" fontId="10" fillId="0" borderId="0" xfId="0" applyFont="1" applyAlignment="1">
      <alignment horizontal="center"/>
    </xf>
    <xf numFmtId="4" fontId="0" fillId="0" borderId="0" xfId="0" applyNumberFormat="1"/>
    <xf numFmtId="169" fontId="0" fillId="0" borderId="0" xfId="0" applyNumberFormat="1" applyAlignment="1">
      <alignment horizontal="center"/>
    </xf>
    <xf numFmtId="0" fontId="80" fillId="4" borderId="0" xfId="0" applyFont="1" applyFill="1"/>
    <xf numFmtId="0" fontId="11" fillId="0" borderId="0" xfId="1" applyFont="1"/>
    <xf numFmtId="0" fontId="15" fillId="5" borderId="14" xfId="5" applyFont="1" applyFill="1" applyBorder="1"/>
    <xf numFmtId="0" fontId="15" fillId="5" borderId="15" xfId="5" applyFont="1" applyFill="1" applyBorder="1"/>
    <xf numFmtId="164" fontId="15" fillId="5" borderId="15" xfId="5" applyNumberFormat="1" applyFont="1" applyFill="1" applyBorder="1"/>
    <xf numFmtId="0" fontId="15" fillId="5" borderId="16" xfId="5" applyFont="1" applyFill="1" applyBorder="1"/>
    <xf numFmtId="0" fontId="23" fillId="0" borderId="17" xfId="5" applyFont="1" applyBorder="1"/>
    <xf numFmtId="0" fontId="23" fillId="0" borderId="13" xfId="5" applyFont="1" applyBorder="1"/>
    <xf numFmtId="37" fontId="23" fillId="0" borderId="13" xfId="5" applyNumberFormat="1" applyFont="1" applyBorder="1"/>
    <xf numFmtId="164" fontId="23" fillId="0" borderId="13" xfId="5" applyNumberFormat="1" applyFont="1" applyBorder="1"/>
    <xf numFmtId="0" fontId="23" fillId="0" borderId="17" xfId="5" applyFont="1" applyBorder="1" applyAlignment="1">
      <alignment horizontal="left" indent="1"/>
    </xf>
    <xf numFmtId="0" fontId="23" fillId="36" borderId="17" xfId="5" applyFont="1" applyFill="1" applyBorder="1"/>
    <xf numFmtId="164" fontId="23" fillId="36" borderId="13" xfId="5" applyNumberFormat="1" applyFont="1" applyFill="1" applyBorder="1"/>
    <xf numFmtId="0" fontId="23" fillId="0" borderId="18" xfId="5" applyFont="1" applyBorder="1"/>
    <xf numFmtId="0" fontId="23" fillId="0" borderId="19" xfId="5" applyFont="1" applyBorder="1"/>
    <xf numFmtId="164" fontId="23" fillId="0" borderId="19" xfId="5" applyNumberFormat="1" applyFont="1" applyBorder="1"/>
    <xf numFmtId="164" fontId="23" fillId="0" borderId="20" xfId="5" applyNumberFormat="1" applyFont="1" applyBorder="1"/>
    <xf numFmtId="10" fontId="48" fillId="0" borderId="0" xfId="0" applyNumberFormat="1" applyFont="1" applyAlignment="1">
      <alignment horizontal="center" wrapText="1"/>
    </xf>
    <xf numFmtId="43" fontId="10" fillId="0" borderId="0" xfId="3" applyFont="1" applyBorder="1"/>
    <xf numFmtId="10" fontId="10" fillId="0" borderId="0" xfId="3" applyNumberFormat="1" applyFont="1"/>
    <xf numFmtId="1" fontId="23" fillId="0" borderId="0" xfId="1" applyNumberFormat="1" applyFont="1"/>
    <xf numFmtId="43" fontId="10" fillId="0" borderId="0" xfId="3" applyFont="1"/>
    <xf numFmtId="0" fontId="38" fillId="0" borderId="99" xfId="1" applyFont="1" applyBorder="1" applyAlignment="1">
      <alignment wrapText="1"/>
    </xf>
    <xf numFmtId="43" fontId="10" fillId="0" borderId="10" xfId="3" applyFont="1" applyBorder="1"/>
    <xf numFmtId="164" fontId="10" fillId="0" borderId="10" xfId="3" applyNumberFormat="1" applyFont="1" applyBorder="1"/>
    <xf numFmtId="0" fontId="11" fillId="0" borderId="72" xfId="0" applyFont="1" applyBorder="1"/>
    <xf numFmtId="0" fontId="11" fillId="0" borderId="75" xfId="0" applyFont="1" applyBorder="1"/>
    <xf numFmtId="0" fontId="11" fillId="0" borderId="54" xfId="0" applyFont="1" applyBorder="1" applyAlignment="1">
      <alignment horizontal="center"/>
    </xf>
    <xf numFmtId="3" fontId="11" fillId="0" borderId="26" xfId="0" applyNumberFormat="1" applyFont="1" applyBorder="1"/>
    <xf numFmtId="164" fontId="11" fillId="0" borderId="26" xfId="0" applyNumberFormat="1" applyFont="1" applyBorder="1"/>
    <xf numFmtId="10" fontId="11" fillId="0" borderId="26" xfId="0" applyNumberFormat="1" applyFont="1" applyBorder="1"/>
    <xf numFmtId="0" fontId="11" fillId="54" borderId="40" xfId="0" applyFont="1" applyFill="1" applyBorder="1"/>
    <xf numFmtId="0" fontId="11" fillId="54" borderId="54" xfId="0" applyFont="1" applyFill="1" applyBorder="1"/>
    <xf numFmtId="10" fontId="11" fillId="0" borderId="59" xfId="0" applyNumberFormat="1" applyFont="1" applyBorder="1"/>
    <xf numFmtId="0" fontId="11" fillId="54" borderId="38" xfId="0" applyFont="1" applyFill="1" applyBorder="1"/>
    <xf numFmtId="0" fontId="11" fillId="54" borderId="26" xfId="0" applyFont="1" applyFill="1" applyBorder="1"/>
    <xf numFmtId="6" fontId="11" fillId="0" borderId="26" xfId="0" applyNumberFormat="1" applyFont="1" applyBorder="1"/>
    <xf numFmtId="0" fontId="11" fillId="54" borderId="39" xfId="0" applyFont="1" applyFill="1" applyBorder="1"/>
    <xf numFmtId="0" fontId="11" fillId="54" borderId="23" xfId="0" applyFont="1" applyFill="1" applyBorder="1"/>
    <xf numFmtId="0" fontId="38" fillId="0" borderId="72" xfId="0" applyFont="1" applyBorder="1"/>
    <xf numFmtId="0" fontId="11" fillId="0" borderId="26" xfId="0" applyFont="1" applyBorder="1"/>
    <xf numFmtId="0" fontId="11" fillId="0" borderId="11" xfId="0" applyFont="1" applyBorder="1"/>
    <xf numFmtId="0" fontId="11" fillId="0" borderId="34" xfId="0" applyFont="1" applyBorder="1"/>
    <xf numFmtId="0" fontId="11" fillId="0" borderId="12" xfId="0" applyFont="1" applyBorder="1"/>
    <xf numFmtId="10" fontId="11" fillId="0" borderId="0" xfId="0" applyNumberFormat="1" applyFont="1" applyAlignment="1">
      <alignment horizontal="center" vertical="center"/>
    </xf>
    <xf numFmtId="0" fontId="11" fillId="0" borderId="74" xfId="0" applyFont="1" applyBorder="1"/>
    <xf numFmtId="10" fontId="11" fillId="0" borderId="1" xfId="0" applyNumberFormat="1" applyFont="1" applyBorder="1"/>
    <xf numFmtId="1" fontId="11" fillId="0" borderId="1" xfId="0" applyNumberFormat="1" applyFont="1" applyBorder="1"/>
    <xf numFmtId="0" fontId="19" fillId="0" borderId="74" xfId="0" applyFont="1" applyBorder="1"/>
    <xf numFmtId="177" fontId="11" fillId="0" borderId="23" xfId="0" applyNumberFormat="1" applyFont="1" applyBorder="1"/>
    <xf numFmtId="6" fontId="11" fillId="0" borderId="0" xfId="0" applyNumberFormat="1" applyFont="1"/>
    <xf numFmtId="43" fontId="11" fillId="0" borderId="0" xfId="0" applyNumberFormat="1" applyFont="1"/>
    <xf numFmtId="0" fontId="11" fillId="54" borderId="103" xfId="0" applyFont="1" applyFill="1" applyBorder="1"/>
    <xf numFmtId="0" fontId="11" fillId="54" borderId="104" xfId="0" applyFont="1" applyFill="1" applyBorder="1"/>
    <xf numFmtId="0" fontId="11" fillId="54" borderId="105" xfId="0" applyFont="1" applyFill="1" applyBorder="1"/>
    <xf numFmtId="0" fontId="11" fillId="54" borderId="106" xfId="0" applyFont="1" applyFill="1" applyBorder="1"/>
    <xf numFmtId="0" fontId="11" fillId="54" borderId="107" xfId="0" applyFont="1" applyFill="1" applyBorder="1"/>
    <xf numFmtId="0" fontId="11" fillId="54" borderId="108" xfId="0" applyFont="1" applyFill="1" applyBorder="1"/>
    <xf numFmtId="177" fontId="11" fillId="0" borderId="0" xfId="0" applyNumberFormat="1" applyFont="1"/>
    <xf numFmtId="10" fontId="11" fillId="0" borderId="0" xfId="0" applyNumberFormat="1" applyFont="1" applyAlignment="1">
      <alignment wrapText="1"/>
    </xf>
    <xf numFmtId="10" fontId="11" fillId="0" borderId="23" xfId="0" applyNumberFormat="1" applyFont="1" applyBorder="1" applyAlignment="1">
      <alignment horizontal="center" vertical="center"/>
    </xf>
    <xf numFmtId="164" fontId="10" fillId="0" borderId="0" xfId="3" applyNumberFormat="1" applyFont="1" applyBorder="1"/>
    <xf numFmtId="0" fontId="67" fillId="0" borderId="0" xfId="0" applyFont="1"/>
    <xf numFmtId="0" fontId="38" fillId="12" borderId="0" xfId="0" applyFont="1" applyFill="1"/>
    <xf numFmtId="44" fontId="0" fillId="12" borderId="0" xfId="9" applyFont="1" applyFill="1" applyBorder="1"/>
    <xf numFmtId="169" fontId="0" fillId="12" borderId="0" xfId="0" applyNumberFormat="1" applyFill="1"/>
    <xf numFmtId="0" fontId="38" fillId="0" borderId="0" xfId="1" applyFont="1" applyAlignment="1">
      <alignment horizontal="left" wrapText="1"/>
    </xf>
    <xf numFmtId="0" fontId="0" fillId="0" borderId="41" xfId="0" applyBorder="1"/>
    <xf numFmtId="9" fontId="0" fillId="0" borderId="41" xfId="0" applyNumberFormat="1" applyBorder="1"/>
    <xf numFmtId="164" fontId="0" fillId="0" borderId="41" xfId="7" applyNumberFormat="1" applyFont="1" applyBorder="1"/>
    <xf numFmtId="0" fontId="0" fillId="0" borderId="41" xfId="0" applyBorder="1" applyAlignment="1">
      <alignment wrapText="1"/>
    </xf>
    <xf numFmtId="0" fontId="9" fillId="5" borderId="0" xfId="1" applyFont="1" applyFill="1" applyAlignment="1">
      <alignment horizontal="left" wrapText="1"/>
    </xf>
    <xf numFmtId="183" fontId="0" fillId="8" borderId="0" xfId="0" applyNumberFormat="1" applyFill="1" applyAlignment="1">
      <alignment horizontal="right"/>
    </xf>
    <xf numFmtId="182" fontId="0" fillId="0" borderId="0" xfId="16" applyNumberFormat="1" applyFont="1" applyBorder="1"/>
    <xf numFmtId="0" fontId="52" fillId="0" borderId="0" xfId="15" applyFont="1"/>
    <xf numFmtId="0" fontId="48" fillId="0" borderId="0" xfId="15" applyFont="1"/>
    <xf numFmtId="3" fontId="3" fillId="0" borderId="0" xfId="15" applyNumberFormat="1"/>
    <xf numFmtId="0" fontId="53" fillId="0" borderId="0" xfId="15" applyFont="1"/>
    <xf numFmtId="0" fontId="3" fillId="0" borderId="0" xfId="15" applyAlignment="1">
      <alignment wrapText="1"/>
    </xf>
    <xf numFmtId="44" fontId="51" fillId="0" borderId="0" xfId="15" applyNumberFormat="1" applyFont="1"/>
    <xf numFmtId="0" fontId="52" fillId="0" borderId="0" xfId="15" applyFont="1" applyAlignment="1">
      <alignment wrapText="1"/>
    </xf>
    <xf numFmtId="44" fontId="52" fillId="0" borderId="0" xfId="15" applyNumberFormat="1" applyFont="1"/>
    <xf numFmtId="44" fontId="56" fillId="0" borderId="0" xfId="15" applyNumberFormat="1" applyFont="1"/>
    <xf numFmtId="44" fontId="52" fillId="40" borderId="0" xfId="15" applyNumberFormat="1" applyFont="1" applyFill="1"/>
    <xf numFmtId="0" fontId="49" fillId="0" borderId="14" xfId="15" applyFont="1" applyBorder="1"/>
    <xf numFmtId="0" fontId="3" fillId="0" borderId="15" xfId="15" applyBorder="1"/>
    <xf numFmtId="0" fontId="3" fillId="0" borderId="16" xfId="15" applyBorder="1"/>
    <xf numFmtId="0" fontId="49" fillId="0" borderId="17" xfId="15" applyFont="1" applyBorder="1"/>
    <xf numFmtId="0" fontId="3" fillId="0" borderId="13" xfId="15" applyBorder="1"/>
    <xf numFmtId="0" fontId="52" fillId="0" borderId="17" xfId="15" applyFont="1" applyBorder="1"/>
    <xf numFmtId="0" fontId="3" fillId="0" borderId="19" xfId="15" applyBorder="1"/>
    <xf numFmtId="0" fontId="3" fillId="0" borderId="20" xfId="15" applyBorder="1"/>
    <xf numFmtId="3" fontId="3" fillId="0" borderId="15" xfId="15" applyNumberFormat="1" applyBorder="1"/>
    <xf numFmtId="0" fontId="3" fillId="0" borderId="17" xfId="15" applyBorder="1"/>
    <xf numFmtId="0" fontId="48" fillId="0" borderId="17" xfId="15" applyFont="1" applyBorder="1"/>
    <xf numFmtId="0" fontId="48" fillId="0" borderId="17" xfId="15" applyFont="1" applyBorder="1" applyAlignment="1">
      <alignment wrapText="1"/>
    </xf>
    <xf numFmtId="0" fontId="3" fillId="0" borderId="18" xfId="15" applyBorder="1"/>
    <xf numFmtId="0" fontId="50" fillId="0" borderId="14" xfId="15" applyFont="1" applyBorder="1"/>
    <xf numFmtId="0" fontId="52" fillId="0" borderId="18" xfId="15" applyFont="1" applyBorder="1"/>
    <xf numFmtId="44" fontId="52" fillId="40" borderId="95" xfId="15" applyNumberFormat="1" applyFont="1" applyFill="1" applyBorder="1"/>
    <xf numFmtId="44" fontId="52" fillId="0" borderId="19" xfId="15" applyNumberFormat="1" applyFont="1" applyBorder="1"/>
    <xf numFmtId="0" fontId="54" fillId="0" borderId="14" xfId="15" applyFont="1" applyBorder="1"/>
    <xf numFmtId="0" fontId="48" fillId="0" borderId="15" xfId="15" applyFont="1" applyBorder="1"/>
    <xf numFmtId="0" fontId="54" fillId="0" borderId="0" xfId="15" applyFont="1"/>
    <xf numFmtId="0" fontId="54" fillId="0" borderId="13" xfId="15" applyFont="1" applyBorder="1"/>
    <xf numFmtId="1" fontId="3" fillId="0" borderId="0" xfId="15" applyNumberFormat="1" applyAlignment="1">
      <alignment horizontal="right"/>
    </xf>
    <xf numFmtId="1" fontId="3" fillId="0" borderId="0" xfId="15" applyNumberFormat="1"/>
    <xf numFmtId="1" fontId="3" fillId="0" borderId="13" xfId="15" applyNumberFormat="1" applyBorder="1"/>
    <xf numFmtId="44" fontId="3" fillId="0" borderId="13" xfId="15" applyNumberFormat="1" applyBorder="1"/>
    <xf numFmtId="0" fontId="55" fillId="0" borderId="17" xfId="15" applyFont="1" applyBorder="1"/>
    <xf numFmtId="0" fontId="10" fillId="0" borderId="0" xfId="0" applyFont="1" applyAlignment="1">
      <alignment vertical="center" wrapText="1"/>
    </xf>
    <xf numFmtId="0" fontId="0" fillId="0" borderId="0" xfId="5" applyFont="1" applyAlignment="1">
      <alignment wrapText="1"/>
    </xf>
    <xf numFmtId="184" fontId="0" fillId="0" borderId="0" xfId="0" applyNumberFormat="1"/>
    <xf numFmtId="181" fontId="16" fillId="0" borderId="0" xfId="1" applyNumberFormat="1" applyFont="1"/>
    <xf numFmtId="44" fontId="16" fillId="0" borderId="0" xfId="1" applyNumberFormat="1" applyFont="1"/>
    <xf numFmtId="164" fontId="38" fillId="0" borderId="0" xfId="1" applyNumberFormat="1" applyFont="1" applyAlignment="1">
      <alignment horizontal="left" wrapText="1"/>
    </xf>
    <xf numFmtId="164" fontId="47" fillId="0" borderId="0" xfId="1" applyNumberFormat="1" applyFont="1" applyAlignment="1">
      <alignment horizontal="center" wrapText="1"/>
    </xf>
    <xf numFmtId="164" fontId="44" fillId="38" borderId="0" xfId="3" applyNumberFormat="1" applyFont="1" applyFill="1"/>
    <xf numFmtId="0" fontId="23" fillId="36" borderId="0" xfId="5" applyFont="1" applyFill="1"/>
    <xf numFmtId="164" fontId="23" fillId="36" borderId="0" xfId="5" applyNumberFormat="1" applyFont="1" applyFill="1"/>
    <xf numFmtId="164" fontId="38" fillId="38" borderId="0" xfId="3" applyNumberFormat="1" applyFont="1" applyFill="1"/>
    <xf numFmtId="164" fontId="23" fillId="38" borderId="0" xfId="3" applyNumberFormat="1" applyFont="1" applyFill="1"/>
    <xf numFmtId="0" fontId="10" fillId="0" borderId="96" xfId="0" applyFont="1" applyBorder="1"/>
    <xf numFmtId="3" fontId="0" fillId="0" borderId="97" xfId="0" applyNumberFormat="1" applyBorder="1" applyAlignment="1">
      <alignment horizontal="center"/>
    </xf>
    <xf numFmtId="0" fontId="79" fillId="0" borderId="0" xfId="0" applyFont="1" applyAlignment="1">
      <alignment wrapText="1"/>
    </xf>
    <xf numFmtId="0" fontId="11" fillId="0" borderId="0" xfId="0" applyFont="1" applyAlignment="1">
      <alignment horizontal="left" vertical="center"/>
    </xf>
    <xf numFmtId="181" fontId="0" fillId="0" borderId="10" xfId="0" applyNumberFormat="1" applyBorder="1"/>
    <xf numFmtId="169" fontId="0" fillId="0" borderId="0" xfId="16" applyNumberFormat="1" applyFont="1" applyBorder="1"/>
    <xf numFmtId="169" fontId="52" fillId="0" borderId="0" xfId="16" applyNumberFormat="1" applyFont="1" applyBorder="1"/>
    <xf numFmtId="169" fontId="3" fillId="0" borderId="0" xfId="15" applyNumberFormat="1"/>
    <xf numFmtId="169" fontId="48" fillId="0" borderId="0" xfId="15" applyNumberFormat="1" applyFont="1"/>
    <xf numFmtId="169" fontId="51" fillId="0" borderId="0" xfId="16" applyNumberFormat="1" applyFont="1" applyBorder="1"/>
    <xf numFmtId="169" fontId="52" fillId="0" borderId="0" xfId="15" applyNumberFormat="1" applyFont="1"/>
    <xf numFmtId="169" fontId="0" fillId="0" borderId="0" xfId="16" applyNumberFormat="1" applyFont="1" applyFill="1" applyBorder="1"/>
    <xf numFmtId="169" fontId="56" fillId="0" borderId="0" xfId="16" applyNumberFormat="1" applyFont="1" applyFill="1" applyBorder="1"/>
    <xf numFmtId="169" fontId="50" fillId="0" borderId="0" xfId="16" applyNumberFormat="1" applyFont="1" applyBorder="1"/>
    <xf numFmtId="0" fontId="48" fillId="0" borderId="10" xfId="0" applyFont="1" applyBorder="1" applyAlignment="1">
      <alignment horizontal="right"/>
    </xf>
    <xf numFmtId="177" fontId="48" fillId="0" borderId="10" xfId="9" applyNumberFormat="1" applyFont="1" applyBorder="1"/>
    <xf numFmtId="170" fontId="14" fillId="5" borderId="0" xfId="0" applyNumberFormat="1" applyFont="1" applyFill="1" applyAlignment="1">
      <alignment horizontal="center"/>
    </xf>
    <xf numFmtId="10" fontId="14" fillId="5" borderId="0" xfId="0" applyNumberFormat="1" applyFont="1" applyFill="1" applyAlignment="1">
      <alignment horizontal="center" wrapText="1"/>
    </xf>
    <xf numFmtId="177" fontId="48" fillId="0" borderId="0" xfId="0" applyNumberFormat="1" applyFont="1"/>
    <xf numFmtId="177" fontId="48" fillId="0" borderId="10" xfId="0" applyNumberFormat="1" applyFont="1" applyBorder="1"/>
    <xf numFmtId="166" fontId="48" fillId="0" borderId="0" xfId="0" applyNumberFormat="1" applyFont="1" applyAlignment="1">
      <alignment horizontal="right"/>
    </xf>
    <xf numFmtId="0" fontId="75" fillId="5" borderId="0" xfId="0" applyFont="1" applyFill="1" applyAlignment="1">
      <alignment horizontal="center" wrapText="1"/>
    </xf>
    <xf numFmtId="0" fontId="83" fillId="43" borderId="11" xfId="7" applyNumberFormat="1" applyFont="1" applyFill="1" applyBorder="1" applyAlignment="1">
      <alignment horizontal="center" vertical="center"/>
    </xf>
    <xf numFmtId="6" fontId="83" fillId="19" borderId="11" xfId="0" applyNumberFormat="1" applyFont="1" applyFill="1" applyBorder="1" applyAlignment="1">
      <alignment horizontal="center" vertical="center"/>
    </xf>
    <xf numFmtId="177" fontId="0" fillId="0" borderId="0" xfId="9" applyNumberFormat="1" applyFont="1" applyFill="1" applyAlignment="1">
      <alignment horizontal="center"/>
    </xf>
    <xf numFmtId="0" fontId="23" fillId="0" borderId="0" xfId="1" applyFont="1" applyAlignment="1">
      <alignment horizontal="left" wrapText="1"/>
    </xf>
    <xf numFmtId="44" fontId="38" fillId="0" borderId="0" xfId="1" applyNumberFormat="1" applyFont="1" applyAlignment="1">
      <alignment horizontal="center" wrapText="1"/>
    </xf>
    <xf numFmtId="177" fontId="0" fillId="0" borderId="0" xfId="9" applyNumberFormat="1" applyFont="1" applyFill="1" applyBorder="1" applyAlignment="1">
      <alignment horizontal="center"/>
    </xf>
    <xf numFmtId="164" fontId="11" fillId="0" borderId="0" xfId="7" applyNumberFormat="1" applyFont="1" applyFill="1" applyBorder="1" applyAlignment="1" applyProtection="1">
      <alignment horizontal="center"/>
      <protection locked="0"/>
    </xf>
    <xf numFmtId="164" fontId="11" fillId="0" borderId="0" xfId="7" applyNumberFormat="1" applyFont="1" applyBorder="1" applyAlignment="1" applyProtection="1">
      <alignment horizontal="center"/>
      <protection locked="0"/>
    </xf>
    <xf numFmtId="164" fontId="0" fillId="0" borderId="0" xfId="7" applyNumberFormat="1" applyFont="1" applyFill="1" applyBorder="1" applyAlignment="1">
      <alignment horizontal="center"/>
    </xf>
    <xf numFmtId="180" fontId="0" fillId="0" borderId="0" xfId="7" applyNumberFormat="1" applyFont="1" applyFill="1" applyBorder="1" applyAlignment="1">
      <alignment horizontal="center"/>
    </xf>
    <xf numFmtId="164" fontId="0" fillId="0" borderId="0" xfId="7" applyNumberFormat="1" applyFont="1" applyFill="1" applyBorder="1" applyAlignment="1" applyProtection="1">
      <alignment horizontal="center"/>
      <protection locked="0"/>
    </xf>
    <xf numFmtId="165" fontId="0" fillId="0" borderId="0" xfId="7" applyNumberFormat="1" applyFont="1" applyFill="1" applyBorder="1" applyAlignment="1">
      <alignment horizontal="center"/>
    </xf>
    <xf numFmtId="177" fontId="0" fillId="0" borderId="0" xfId="9" applyNumberFormat="1" applyFont="1" applyFill="1" applyBorder="1" applyAlignment="1" applyProtection="1">
      <alignment horizontal="center"/>
      <protection locked="0"/>
    </xf>
    <xf numFmtId="185" fontId="0" fillId="0" borderId="0" xfId="0" applyNumberFormat="1"/>
    <xf numFmtId="0" fontId="14" fillId="0" borderId="0" xfId="0" applyFont="1" applyAlignment="1">
      <alignment horizontal="center" vertical="center"/>
    </xf>
    <xf numFmtId="175" fontId="19" fillId="0" borderId="0" xfId="0" applyNumberFormat="1" applyFont="1"/>
    <xf numFmtId="175" fontId="11" fillId="0" borderId="0" xfId="0" applyNumberFormat="1" applyFont="1"/>
    <xf numFmtId="175" fontId="0" fillId="0" borderId="0" xfId="0" applyNumberFormat="1"/>
    <xf numFmtId="3" fontId="16" fillId="0" borderId="0" xfId="0" applyNumberFormat="1" applyFont="1"/>
    <xf numFmtId="3" fontId="48" fillId="0" borderId="0" xfId="0" applyNumberFormat="1" applyFont="1"/>
    <xf numFmtId="3" fontId="48" fillId="0" borderId="0" xfId="9" applyNumberFormat="1" applyFont="1"/>
    <xf numFmtId="10" fontId="11" fillId="0" borderId="54" xfId="0" applyNumberFormat="1" applyFont="1" applyBorder="1" applyAlignment="1">
      <alignment horizontal="center" vertical="center"/>
    </xf>
    <xf numFmtId="10" fontId="11" fillId="0" borderId="92" xfId="0" applyNumberFormat="1" applyFont="1" applyBorder="1" applyAlignment="1">
      <alignment horizontal="center" vertical="center"/>
    </xf>
    <xf numFmtId="0" fontId="19" fillId="56" borderId="0" xfId="0" applyFont="1" applyFill="1" applyAlignment="1">
      <alignment horizontal="center"/>
    </xf>
    <xf numFmtId="0" fontId="11" fillId="56" borderId="0" xfId="0" applyFont="1" applyFill="1" applyAlignment="1">
      <alignment horizontal="center"/>
    </xf>
    <xf numFmtId="0" fontId="84" fillId="0" borderId="0" xfId="0" applyFont="1"/>
    <xf numFmtId="0" fontId="0" fillId="0" borderId="32" xfId="0" applyBorder="1" applyAlignment="1">
      <alignment wrapText="1"/>
    </xf>
    <xf numFmtId="44" fontId="0" fillId="0" borderId="6" xfId="9" applyFont="1" applyBorder="1"/>
    <xf numFmtId="44" fontId="0" fillId="0" borderId="27" xfId="9" applyFont="1" applyBorder="1"/>
    <xf numFmtId="44" fontId="0" fillId="0" borderId="84" xfId="9" applyFont="1" applyBorder="1"/>
    <xf numFmtId="0" fontId="0" fillId="0" borderId="9" xfId="0" applyBorder="1"/>
    <xf numFmtId="0" fontId="0" fillId="0" borderId="3" xfId="0" applyBorder="1"/>
    <xf numFmtId="0" fontId="0" fillId="0" borderId="46" xfId="0" applyBorder="1"/>
    <xf numFmtId="164" fontId="0" fillId="0" borderId="31" xfId="11" applyNumberFormat="1" applyFont="1" applyFill="1" applyBorder="1" applyAlignment="1">
      <alignment horizontal="right"/>
    </xf>
    <xf numFmtId="0" fontId="0" fillId="49" borderId="3" xfId="0" applyFill="1" applyBorder="1"/>
    <xf numFmtId="0" fontId="0" fillId="49" borderId="46" xfId="0" applyFill="1" applyBorder="1"/>
    <xf numFmtId="0" fontId="0" fillId="0" borderId="3" xfId="0" applyBorder="1" applyAlignment="1">
      <alignment wrapText="1"/>
    </xf>
    <xf numFmtId="0" fontId="0" fillId="0" borderId="46" xfId="0" applyBorder="1" applyAlignment="1">
      <alignment wrapText="1"/>
    </xf>
    <xf numFmtId="0" fontId="0" fillId="0" borderId="9" xfId="0" applyBorder="1" applyAlignment="1">
      <alignment wrapText="1"/>
    </xf>
    <xf numFmtId="169" fontId="0" fillId="0" borderId="32" xfId="0" applyNumberFormat="1" applyBorder="1"/>
    <xf numFmtId="44" fontId="0" fillId="0" borderId="8" xfId="9" applyFont="1" applyBorder="1"/>
    <xf numFmtId="10" fontId="0" fillId="0" borderId="2" xfId="8" applyNumberFormat="1" applyFont="1" applyBorder="1"/>
    <xf numFmtId="169" fontId="0" fillId="0" borderId="31" xfId="0" applyNumberFormat="1" applyBorder="1"/>
    <xf numFmtId="10" fontId="0" fillId="0" borderId="3" xfId="0" applyNumberFormat="1" applyBorder="1"/>
    <xf numFmtId="3" fontId="0" fillId="0" borderId="3" xfId="0" applyNumberFormat="1" applyBorder="1"/>
    <xf numFmtId="169" fontId="0" fillId="0" borderId="46" xfId="0" applyNumberFormat="1" applyBorder="1"/>
    <xf numFmtId="10" fontId="0" fillId="0" borderId="32" xfId="8" applyNumberFormat="1" applyFont="1" applyBorder="1"/>
    <xf numFmtId="10" fontId="0" fillId="0" borderId="46" xfId="8" applyNumberFormat="1" applyFont="1" applyBorder="1"/>
    <xf numFmtId="0" fontId="0" fillId="49" borderId="9" xfId="0" applyFill="1" applyBorder="1" applyAlignment="1">
      <alignment wrapText="1"/>
    </xf>
    <xf numFmtId="0" fontId="38" fillId="0" borderId="35" xfId="0" applyFont="1" applyBorder="1" applyAlignment="1">
      <alignment wrapText="1"/>
    </xf>
    <xf numFmtId="0" fontId="38" fillId="0" borderId="34" xfId="0" applyFont="1" applyBorder="1" applyAlignment="1">
      <alignment wrapText="1"/>
    </xf>
    <xf numFmtId="0" fontId="38" fillId="0" borderId="12" xfId="0" applyFont="1" applyBorder="1" applyAlignment="1">
      <alignment wrapText="1"/>
    </xf>
    <xf numFmtId="170" fontId="0" fillId="10" borderId="37" xfId="0" applyNumberFormat="1" applyFill="1" applyBorder="1"/>
    <xf numFmtId="170" fontId="0" fillId="10" borderId="110" xfId="0" applyNumberFormat="1" applyFill="1" applyBorder="1"/>
    <xf numFmtId="170" fontId="0" fillId="0" borderId="39" xfId="0" applyNumberFormat="1" applyBorder="1"/>
    <xf numFmtId="10" fontId="0" fillId="0" borderId="1" xfId="0" applyNumberFormat="1" applyBorder="1"/>
    <xf numFmtId="169" fontId="0" fillId="0" borderId="23" xfId="0" applyNumberFormat="1" applyBorder="1"/>
    <xf numFmtId="9" fontId="0" fillId="0" borderId="32" xfId="8" applyFont="1" applyBorder="1"/>
    <xf numFmtId="9" fontId="0" fillId="0" borderId="31" xfId="8" applyFont="1" applyBorder="1"/>
    <xf numFmtId="9" fontId="0" fillId="0" borderId="0" xfId="8" applyFont="1" applyBorder="1"/>
    <xf numFmtId="9" fontId="0" fillId="0" borderId="33" xfId="8" applyFont="1" applyBorder="1"/>
    <xf numFmtId="0" fontId="0" fillId="0" borderId="8" xfId="0" applyBorder="1" applyAlignment="1">
      <alignment horizontal="left"/>
    </xf>
    <xf numFmtId="0" fontId="10" fillId="36" borderId="2" xfId="0" applyFont="1" applyFill="1" applyBorder="1" applyAlignment="1">
      <alignment horizontal="left" wrapText="1"/>
    </xf>
    <xf numFmtId="0" fontId="0" fillId="36" borderId="2" xfId="0" applyFill="1" applyBorder="1" applyAlignment="1">
      <alignment horizontal="left"/>
    </xf>
    <xf numFmtId="0" fontId="0" fillId="36" borderId="6" xfId="0" applyFill="1" applyBorder="1" applyAlignment="1">
      <alignment horizontal="left"/>
    </xf>
    <xf numFmtId="0" fontId="10" fillId="36" borderId="0" xfId="0" applyFont="1" applyFill="1" applyAlignment="1">
      <alignment horizontal="left" wrapText="1"/>
    </xf>
    <xf numFmtId="10" fontId="0" fillId="9" borderId="2" xfId="8" applyNumberFormat="1" applyFont="1" applyFill="1" applyBorder="1"/>
    <xf numFmtId="0" fontId="10" fillId="9" borderId="111" xfId="0" applyFont="1" applyFill="1" applyBorder="1" applyAlignment="1">
      <alignment wrapText="1"/>
    </xf>
    <xf numFmtId="0" fontId="10" fillId="9" borderId="82" xfId="0" applyFont="1" applyFill="1" applyBorder="1" applyAlignment="1">
      <alignment wrapText="1"/>
    </xf>
    <xf numFmtId="0" fontId="10" fillId="9" borderId="112" xfId="0" applyFont="1" applyFill="1" applyBorder="1" applyAlignment="1">
      <alignment wrapText="1"/>
    </xf>
    <xf numFmtId="10" fontId="0" fillId="9" borderId="6" xfId="8" applyNumberFormat="1" applyFont="1" applyFill="1" applyBorder="1"/>
    <xf numFmtId="10" fontId="0" fillId="9" borderId="32" xfId="0" applyNumberFormat="1" applyFill="1" applyBorder="1"/>
    <xf numFmtId="10" fontId="0" fillId="9" borderId="8" xfId="8" applyNumberFormat="1" applyFont="1" applyFill="1" applyBorder="1"/>
    <xf numFmtId="10" fontId="0" fillId="9" borderId="31" xfId="0" applyNumberFormat="1" applyFill="1" applyBorder="1"/>
    <xf numFmtId="0" fontId="10" fillId="36" borderId="40" xfId="0" applyFont="1" applyFill="1" applyBorder="1" applyAlignment="1">
      <alignment horizontal="left" wrapText="1"/>
    </xf>
    <xf numFmtId="0" fontId="10" fillId="36" borderId="69" xfId="0" applyFont="1" applyFill="1" applyBorder="1" applyAlignment="1">
      <alignment horizontal="left"/>
    </xf>
    <xf numFmtId="0" fontId="0" fillId="36" borderId="69" xfId="0" applyFill="1" applyBorder="1" applyAlignment="1">
      <alignment horizontal="left"/>
    </xf>
    <xf numFmtId="0" fontId="0" fillId="36" borderId="54" xfId="0" applyFill="1" applyBorder="1" applyAlignment="1">
      <alignment horizontal="left"/>
    </xf>
    <xf numFmtId="0" fontId="0" fillId="36" borderId="38" xfId="0" applyFill="1" applyBorder="1" applyAlignment="1">
      <alignment horizontal="left"/>
    </xf>
    <xf numFmtId="0" fontId="10" fillId="36" borderId="26" xfId="0" applyFont="1" applyFill="1" applyBorder="1" applyAlignment="1">
      <alignment horizontal="left" wrapText="1"/>
    </xf>
    <xf numFmtId="0" fontId="10" fillId="36" borderId="37" xfId="0" applyFont="1" applyFill="1" applyBorder="1" applyAlignment="1">
      <alignment horizontal="left" vertical="center" wrapText="1"/>
    </xf>
    <xf numFmtId="0" fontId="0" fillId="36" borderId="36" xfId="0" applyFill="1" applyBorder="1" applyAlignment="1">
      <alignment horizontal="left"/>
    </xf>
    <xf numFmtId="0" fontId="0" fillId="0" borderId="28" xfId="0" applyBorder="1" applyAlignment="1">
      <alignment horizontal="center" vertical="center"/>
    </xf>
    <xf numFmtId="9" fontId="0" fillId="0" borderId="26" xfId="8" applyFont="1" applyBorder="1"/>
    <xf numFmtId="0" fontId="10" fillId="36" borderId="113" xfId="0" applyFont="1" applyFill="1" applyBorder="1"/>
    <xf numFmtId="0" fontId="10" fillId="36" borderId="111" xfId="0" applyFont="1" applyFill="1" applyBorder="1"/>
    <xf numFmtId="9" fontId="10" fillId="36" borderId="112" xfId="8" applyFont="1" applyFill="1" applyBorder="1"/>
    <xf numFmtId="0" fontId="10" fillId="36" borderId="82" xfId="0" applyFont="1" applyFill="1" applyBorder="1"/>
    <xf numFmtId="9" fontId="10" fillId="36" borderId="114" xfId="8" applyFont="1" applyFill="1" applyBorder="1"/>
    <xf numFmtId="0" fontId="10" fillId="36" borderId="6" xfId="0" applyFont="1" applyFill="1" applyBorder="1" applyAlignment="1">
      <alignment horizontal="left" wrapText="1"/>
    </xf>
    <xf numFmtId="0" fontId="10" fillId="36" borderId="38" xfId="0" applyFont="1" applyFill="1" applyBorder="1" applyAlignment="1">
      <alignment horizontal="left" wrapText="1"/>
    </xf>
    <xf numFmtId="0" fontId="0" fillId="0" borderId="115" xfId="0" applyBorder="1" applyAlignment="1">
      <alignment horizontal="center" vertical="center"/>
    </xf>
    <xf numFmtId="0" fontId="0" fillId="0" borderId="116" xfId="0" applyBorder="1" applyAlignment="1">
      <alignment horizontal="center"/>
    </xf>
    <xf numFmtId="0" fontId="0" fillId="16" borderId="39" xfId="0" applyFill="1" applyBorder="1" applyAlignment="1">
      <alignment horizontal="center" vertical="center"/>
    </xf>
    <xf numFmtId="0" fontId="0" fillId="0" borderId="117" xfId="0" applyBorder="1" applyAlignment="1">
      <alignment wrapText="1"/>
    </xf>
    <xf numFmtId="0" fontId="0" fillId="0" borderId="7" xfId="0" applyBorder="1"/>
    <xf numFmtId="0" fontId="10" fillId="36" borderId="57" xfId="0" applyFont="1" applyFill="1" applyBorder="1" applyAlignment="1">
      <alignment horizontal="left" wrapText="1"/>
    </xf>
    <xf numFmtId="0" fontId="0" fillId="0" borderId="6" xfId="0" applyBorder="1" applyAlignment="1">
      <alignment horizontal="left"/>
    </xf>
    <xf numFmtId="0" fontId="60" fillId="0" borderId="0" xfId="0" applyFont="1" applyAlignment="1">
      <alignment horizontal="center"/>
    </xf>
    <xf numFmtId="0" fontId="60" fillId="0" borderId="0" xfId="0" applyFont="1" applyAlignment="1">
      <alignment horizontal="center" vertical="center" wrapText="1"/>
    </xf>
    <xf numFmtId="0" fontId="11" fillId="0" borderId="0" xfId="0" applyFont="1" applyAlignment="1">
      <alignment vertical="center" wrapText="1"/>
    </xf>
    <xf numFmtId="0" fontId="0" fillId="0" borderId="109" xfId="0" applyBorder="1"/>
    <xf numFmtId="9" fontId="0" fillId="0" borderId="109" xfId="8" applyFont="1" applyBorder="1"/>
    <xf numFmtId="9" fontId="0" fillId="0" borderId="27" xfId="8" applyFont="1" applyBorder="1"/>
    <xf numFmtId="9" fontId="0" fillId="0" borderId="84" xfId="8" applyFont="1" applyBorder="1"/>
    <xf numFmtId="9" fontId="0" fillId="9" borderId="27" xfId="8" applyFont="1" applyFill="1" applyBorder="1"/>
    <xf numFmtId="0" fontId="10" fillId="36" borderId="118" xfId="0" applyFont="1" applyFill="1" applyBorder="1"/>
    <xf numFmtId="0" fontId="0" fillId="0" borderId="0" xfId="0" applyAlignment="1">
      <alignment vertical="center" wrapText="1"/>
    </xf>
    <xf numFmtId="0" fontId="22" fillId="0" borderId="0" xfId="0" applyFont="1"/>
    <xf numFmtId="10" fontId="22" fillId="0" borderId="0" xfId="0" applyNumberFormat="1" applyFont="1"/>
    <xf numFmtId="0" fontId="22" fillId="0" borderId="38" xfId="0" applyFont="1" applyBorder="1" applyAlignment="1">
      <alignment wrapText="1"/>
    </xf>
    <xf numFmtId="0" fontId="22" fillId="0" borderId="0" xfId="0" applyFont="1" applyAlignment="1">
      <alignment wrapText="1"/>
    </xf>
    <xf numFmtId="0" fontId="22" fillId="0" borderId="26" xfId="0" applyFont="1" applyBorder="1" applyAlignment="1">
      <alignment wrapText="1"/>
    </xf>
    <xf numFmtId="0" fontId="85" fillId="0" borderId="0" xfId="0" applyFont="1"/>
    <xf numFmtId="10" fontId="85" fillId="0" borderId="0" xfId="10" applyNumberFormat="1" applyFont="1" applyFill="1" applyBorder="1"/>
    <xf numFmtId="10" fontId="85" fillId="0" borderId="0" xfId="0" applyNumberFormat="1" applyFont="1"/>
    <xf numFmtId="10" fontId="85" fillId="0" borderId="26" xfId="0" applyNumberFormat="1" applyFont="1" applyBorder="1"/>
    <xf numFmtId="10" fontId="10" fillId="9" borderId="0" xfId="0" applyNumberFormat="1" applyFont="1" applyFill="1"/>
    <xf numFmtId="0" fontId="85" fillId="0" borderId="26" xfId="0" applyFont="1" applyBorder="1"/>
    <xf numFmtId="0" fontId="22" fillId="0" borderId="9" xfId="0" applyFont="1" applyBorder="1"/>
    <xf numFmtId="10" fontId="22" fillId="0" borderId="46" xfId="0" applyNumberFormat="1" applyFont="1" applyBorder="1"/>
    <xf numFmtId="0" fontId="10" fillId="0" borderId="4" xfId="0" applyFont="1" applyBorder="1"/>
    <xf numFmtId="44" fontId="0" fillId="0" borderId="0" xfId="9" applyFont="1" applyBorder="1" applyAlignment="1">
      <alignment wrapText="1"/>
    </xf>
    <xf numFmtId="9" fontId="0" fillId="0" borderId="32" xfId="10" applyFont="1" applyBorder="1" applyAlignment="1">
      <alignment wrapText="1"/>
    </xf>
    <xf numFmtId="10" fontId="0" fillId="0" borderId="32" xfId="0" applyNumberFormat="1" applyBorder="1" applyAlignment="1">
      <alignment wrapText="1"/>
    </xf>
    <xf numFmtId="44" fontId="0" fillId="0" borderId="2" xfId="9" applyFont="1" applyBorder="1" applyAlignment="1">
      <alignment wrapText="1"/>
    </xf>
    <xf numFmtId="9" fontId="0" fillId="0" borderId="31" xfId="10" applyFont="1" applyBorder="1" applyAlignment="1">
      <alignment wrapText="1"/>
    </xf>
    <xf numFmtId="0" fontId="77" fillId="0" borderId="0" xfId="0" applyFont="1"/>
    <xf numFmtId="0" fontId="10" fillId="0" borderId="4" xfId="0" applyFont="1" applyBorder="1" applyAlignment="1">
      <alignment horizontal="center"/>
    </xf>
    <xf numFmtId="0" fontId="10" fillId="0" borderId="5" xfId="0" applyFont="1" applyBorder="1" applyAlignment="1">
      <alignment horizontal="center" wrapText="1"/>
    </xf>
    <xf numFmtId="0" fontId="10" fillId="0" borderId="33" xfId="0" applyFont="1" applyBorder="1" applyAlignment="1">
      <alignment horizontal="center" wrapText="1"/>
    </xf>
    <xf numFmtId="0" fontId="10" fillId="0" borderId="6" xfId="0" applyFont="1" applyBorder="1" applyAlignment="1">
      <alignment horizontal="center"/>
    </xf>
    <xf numFmtId="44" fontId="10" fillId="0" borderId="0" xfId="9" applyFont="1" applyBorder="1" applyAlignment="1">
      <alignment horizontal="center" wrapText="1"/>
    </xf>
    <xf numFmtId="0" fontId="10" fillId="0" borderId="32" xfId="0" applyFont="1" applyBorder="1" applyAlignment="1">
      <alignment horizontal="center" wrapText="1"/>
    </xf>
    <xf numFmtId="0" fontId="21" fillId="0" borderId="0" xfId="0" applyFont="1" applyAlignment="1">
      <alignment wrapText="1"/>
    </xf>
    <xf numFmtId="0" fontId="19" fillId="0" borderId="101" xfId="0" applyFont="1" applyBorder="1"/>
    <xf numFmtId="0" fontId="11" fillId="0" borderId="28" xfId="0" applyFont="1" applyBorder="1"/>
    <xf numFmtId="44" fontId="11" fillId="0" borderId="0" xfId="9" applyFont="1" applyAlignment="1">
      <alignment horizontal="left"/>
    </xf>
    <xf numFmtId="10" fontId="14" fillId="0" borderId="0" xfId="0" applyNumberFormat="1" applyFont="1" applyAlignment="1">
      <alignment horizontal="center" wrapText="1"/>
    </xf>
    <xf numFmtId="0" fontId="67" fillId="0" borderId="0" xfId="0" applyFont="1" applyAlignment="1">
      <alignment horizontal="center"/>
    </xf>
    <xf numFmtId="0" fontId="67" fillId="0" borderId="0" xfId="0" applyFont="1" applyAlignment="1">
      <alignment horizontal="left"/>
    </xf>
    <xf numFmtId="164" fontId="6" fillId="0" borderId="0" xfId="7" applyNumberFormat="1" applyFont="1" applyFill="1" applyBorder="1" applyAlignment="1">
      <alignment horizontal="center"/>
    </xf>
    <xf numFmtId="0" fontId="21" fillId="0" borderId="0" xfId="0" applyFont="1"/>
    <xf numFmtId="170" fontId="0" fillId="0" borderId="3" xfId="0" applyNumberFormat="1" applyBorder="1"/>
    <xf numFmtId="164" fontId="0" fillId="0" borderId="0" xfId="3" applyNumberFormat="1" applyFont="1" applyAlignment="1">
      <alignment vertical="center"/>
    </xf>
    <xf numFmtId="0" fontId="10" fillId="0" borderId="35" xfId="0" applyFont="1" applyBorder="1" applyAlignment="1">
      <alignment wrapText="1"/>
    </xf>
    <xf numFmtId="0" fontId="0" fillId="0" borderId="38" xfId="0" applyBorder="1" applyAlignment="1">
      <alignment wrapText="1"/>
    </xf>
    <xf numFmtId="0" fontId="0" fillId="0" borderId="39" xfId="0" applyBorder="1" applyAlignment="1">
      <alignment wrapText="1"/>
    </xf>
    <xf numFmtId="0" fontId="0" fillId="0" borderId="55" xfId="0" applyBorder="1" applyAlignment="1">
      <alignment wrapText="1"/>
    </xf>
    <xf numFmtId="0" fontId="0" fillId="0" borderId="27" xfId="0" applyBorder="1" applyAlignment="1">
      <alignment wrapText="1"/>
    </xf>
    <xf numFmtId="0" fontId="0" fillId="0" borderId="84" xfId="0" applyBorder="1" applyAlignment="1">
      <alignment wrapText="1"/>
    </xf>
    <xf numFmtId="0" fontId="10" fillId="0" borderId="25" xfId="0" applyFont="1" applyBorder="1" applyAlignment="1">
      <alignment wrapText="1"/>
    </xf>
    <xf numFmtId="0" fontId="0" fillId="0" borderId="28" xfId="0" applyBorder="1" applyAlignment="1">
      <alignment wrapText="1"/>
    </xf>
    <xf numFmtId="0" fontId="0" fillId="0" borderId="25" xfId="0" applyBorder="1" applyAlignment="1">
      <alignment wrapText="1"/>
    </xf>
    <xf numFmtId="0" fontId="10" fillId="0" borderId="30" xfId="0" applyFont="1" applyBorder="1" applyAlignment="1">
      <alignment wrapText="1"/>
    </xf>
    <xf numFmtId="2" fontId="16" fillId="0" borderId="0" xfId="0" applyNumberFormat="1" applyFont="1" applyAlignment="1">
      <alignment horizontal="right"/>
    </xf>
    <xf numFmtId="0" fontId="23" fillId="0" borderId="0" xfId="1" applyFont="1" applyAlignment="1">
      <alignment horizontal="left" wrapText="1" indent="1"/>
    </xf>
    <xf numFmtId="9" fontId="0" fillId="0" borderId="40" xfId="0" applyNumberFormat="1" applyBorder="1"/>
    <xf numFmtId="9" fontId="0" fillId="0" borderId="38" xfId="0" applyNumberFormat="1" applyBorder="1"/>
    <xf numFmtId="9" fontId="0" fillId="0" borderId="39" xfId="0" applyNumberFormat="1" applyBorder="1"/>
    <xf numFmtId="0" fontId="0" fillId="0" borderId="17" xfId="0" applyBorder="1" applyAlignment="1">
      <alignment wrapText="1"/>
    </xf>
    <xf numFmtId="0" fontId="0" fillId="0" borderId="18" xfId="0" applyBorder="1" applyAlignment="1">
      <alignment wrapText="1"/>
    </xf>
    <xf numFmtId="0" fontId="86" fillId="0" borderId="98" xfId="19" applyFont="1" applyFill="1"/>
    <xf numFmtId="9" fontId="16" fillId="0" borderId="24" xfId="0" applyNumberFormat="1" applyFont="1" applyBorder="1"/>
    <xf numFmtId="9" fontId="18" fillId="0" borderId="27" xfId="0" applyNumberFormat="1" applyFont="1" applyBorder="1"/>
    <xf numFmtId="0" fontId="86" fillId="0" borderId="0" xfId="19" applyFont="1" applyFill="1" applyBorder="1"/>
    <xf numFmtId="0" fontId="86" fillId="0" borderId="0" xfId="19" applyFont="1" applyFill="1" applyBorder="1" applyAlignment="1">
      <alignment wrapText="1"/>
    </xf>
    <xf numFmtId="0" fontId="78" fillId="0" borderId="0" xfId="19" applyBorder="1"/>
    <xf numFmtId="0" fontId="1" fillId="0" borderId="0" xfId="0" applyFont="1"/>
    <xf numFmtId="0" fontId="87" fillId="0" borderId="0" xfId="0" applyFont="1"/>
    <xf numFmtId="170" fontId="0" fillId="24" borderId="0" xfId="0" applyNumberFormat="1" applyFill="1"/>
    <xf numFmtId="10" fontId="0" fillId="53" borderId="0" xfId="0" applyNumberFormat="1" applyFill="1"/>
    <xf numFmtId="44" fontId="1" fillId="0" borderId="0" xfId="16" applyFont="1" applyBorder="1"/>
    <xf numFmtId="169" fontId="1" fillId="0" borderId="0" xfId="16" applyNumberFormat="1" applyFont="1" applyBorder="1"/>
    <xf numFmtId="0" fontId="1" fillId="0" borderId="0" xfId="15" applyFont="1"/>
    <xf numFmtId="0" fontId="1" fillId="0" borderId="13" xfId="15" applyFont="1" applyBorder="1"/>
    <xf numFmtId="0" fontId="1" fillId="0" borderId="17" xfId="15" applyFont="1" applyBorder="1"/>
    <xf numFmtId="0" fontId="1" fillId="0" borderId="18" xfId="15" applyFont="1" applyBorder="1"/>
    <xf numFmtId="0" fontId="1" fillId="0" borderId="19" xfId="15" applyFont="1" applyBorder="1"/>
    <xf numFmtId="0" fontId="1" fillId="0" borderId="20" xfId="15" applyFont="1" applyBorder="1"/>
    <xf numFmtId="0" fontId="34" fillId="0" borderId="4" xfId="1" applyFont="1" applyBorder="1" applyAlignment="1">
      <alignment horizontal="left" indent="2"/>
    </xf>
    <xf numFmtId="170" fontId="0" fillId="0" borderId="1" xfId="0" applyNumberFormat="1" applyBorder="1"/>
    <xf numFmtId="164" fontId="10" fillId="0" borderId="0" xfId="3" applyNumberFormat="1" applyFont="1"/>
    <xf numFmtId="9" fontId="16" fillId="37" borderId="0" xfId="0" applyNumberFormat="1" applyFont="1" applyFill="1" applyAlignment="1">
      <alignment horizontal="right"/>
    </xf>
    <xf numFmtId="9" fontId="16" fillId="37" borderId="0" xfId="0" applyNumberFormat="1" applyFont="1" applyFill="1"/>
    <xf numFmtId="1" fontId="19" fillId="6" borderId="0" xfId="0" applyNumberFormat="1" applyFont="1" applyFill="1"/>
    <xf numFmtId="169" fontId="23" fillId="0" borderId="68" xfId="5" applyNumberFormat="1" applyFont="1" applyBorder="1" applyAlignment="1">
      <alignment horizontal="right" indent="2"/>
    </xf>
    <xf numFmtId="0" fontId="23" fillId="38" borderId="0" xfId="1" applyFont="1" applyFill="1" applyAlignment="1">
      <alignment horizontal="left" wrapText="1" indent="2"/>
    </xf>
    <xf numFmtId="188" fontId="0" fillId="0" borderId="0" xfId="0" applyNumberFormat="1"/>
    <xf numFmtId="169" fontId="0" fillId="0" borderId="0" xfId="0" applyNumberFormat="1" applyAlignment="1">
      <alignment horizontal="left" indent="1"/>
    </xf>
    <xf numFmtId="0" fontId="11" fillId="18" borderId="0" xfId="0" applyFont="1" applyFill="1" applyAlignment="1">
      <alignment horizontal="center"/>
    </xf>
    <xf numFmtId="0" fontId="23" fillId="0" borderId="0" xfId="5" applyFont="1" applyAlignment="1">
      <alignment horizontal="center"/>
    </xf>
    <xf numFmtId="189" fontId="0" fillId="0" borderId="0" xfId="0" applyNumberFormat="1"/>
    <xf numFmtId="167" fontId="10" fillId="0" borderId="0" xfId="8" applyNumberFormat="1" applyFont="1"/>
    <xf numFmtId="0" fontId="16" fillId="0" borderId="0" xfId="6" applyFont="1"/>
    <xf numFmtId="44" fontId="40" fillId="0" borderId="0" xfId="9" applyFont="1"/>
    <xf numFmtId="0" fontId="15" fillId="0" borderId="0" xfId="0" applyFont="1" applyAlignment="1">
      <alignment horizontal="center" vertical="center"/>
    </xf>
    <xf numFmtId="0" fontId="15" fillId="0" borderId="0" xfId="0" applyFont="1" applyAlignment="1">
      <alignment horizontal="right" vertical="center"/>
    </xf>
    <xf numFmtId="2" fontId="15" fillId="0" borderId="0" xfId="0" applyNumberFormat="1" applyFont="1" applyAlignment="1">
      <alignment horizontal="right"/>
    </xf>
    <xf numFmtId="0" fontId="15" fillId="0" borderId="0" xfId="0" applyFont="1" applyAlignment="1">
      <alignment horizontal="right"/>
    </xf>
    <xf numFmtId="0" fontId="0" fillId="2" borderId="0" xfId="0" applyFill="1" applyAlignment="1">
      <alignment horizontal="left" vertical="center"/>
    </xf>
    <xf numFmtId="0" fontId="0" fillId="2" borderId="0" xfId="0" applyFill="1" applyAlignment="1">
      <alignment horizontal="center" vertical="center"/>
    </xf>
    <xf numFmtId="0" fontId="0" fillId="2" borderId="0" xfId="0" applyFill="1" applyAlignment="1">
      <alignment horizontal="right" vertical="center"/>
    </xf>
    <xf numFmtId="2" fontId="0" fillId="2" borderId="0" xfId="0" applyNumberFormat="1" applyFill="1" applyAlignment="1">
      <alignment horizontal="right"/>
    </xf>
    <xf numFmtId="0" fontId="0" fillId="2" borderId="0" xfId="0" applyFill="1" applyAlignment="1">
      <alignment horizontal="right"/>
    </xf>
    <xf numFmtId="2" fontId="0" fillId="0" borderId="3" xfId="0" applyNumberFormat="1" applyBorder="1" applyAlignment="1">
      <alignment horizontal="right"/>
    </xf>
    <xf numFmtId="0" fontId="48" fillId="38" borderId="0" xfId="0" applyFont="1" applyFill="1" applyAlignment="1">
      <alignment horizontal="left"/>
    </xf>
    <xf numFmtId="187" fontId="0" fillId="0" borderId="0" xfId="0" applyNumberFormat="1" applyAlignment="1">
      <alignment horizontal="right"/>
    </xf>
    <xf numFmtId="0" fontId="14" fillId="0" borderId="0" xfId="0" applyFont="1"/>
    <xf numFmtId="1" fontId="14" fillId="0" borderId="0" xfId="0" applyNumberFormat="1" applyFont="1"/>
    <xf numFmtId="2" fontId="14" fillId="0" borderId="0" xfId="0" applyNumberFormat="1" applyFont="1"/>
    <xf numFmtId="0" fontId="40" fillId="5" borderId="0" xfId="0" applyFont="1" applyFill="1"/>
    <xf numFmtId="0" fontId="0" fillId="39" borderId="0" xfId="0" applyFill="1"/>
    <xf numFmtId="0" fontId="89" fillId="0" borderId="0" xfId="0" applyFont="1" applyAlignment="1">
      <alignment horizontal="left" indent="1"/>
    </xf>
    <xf numFmtId="0" fontId="1" fillId="0" borderId="0" xfId="0" applyFont="1" applyAlignment="1">
      <alignment wrapText="1"/>
    </xf>
    <xf numFmtId="0" fontId="0" fillId="0" borderId="5" xfId="0" applyBorder="1" applyAlignment="1">
      <alignment horizontal="left" wrapText="1"/>
    </xf>
    <xf numFmtId="0" fontId="0" fillId="0" borderId="33" xfId="0" applyBorder="1" applyAlignment="1">
      <alignment horizontal="left" wrapText="1"/>
    </xf>
    <xf numFmtId="0" fontId="0" fillId="0" borderId="4" xfId="0" applyBorder="1" applyAlignment="1">
      <alignment horizontal="left" wrapText="1"/>
    </xf>
    <xf numFmtId="10" fontId="0" fillId="0" borderId="32" xfId="0" applyNumberFormat="1" applyBorder="1" applyAlignment="1">
      <alignment horizontal="left" wrapText="1"/>
    </xf>
    <xf numFmtId="0" fontId="0" fillId="0" borderId="6" xfId="0" applyBorder="1" applyAlignment="1">
      <alignment horizontal="left" wrapText="1"/>
    </xf>
    <xf numFmtId="10" fontId="0" fillId="0" borderId="0" xfId="0" applyNumberFormat="1" applyAlignment="1">
      <alignment horizontal="left" wrapText="1"/>
    </xf>
    <xf numFmtId="0" fontId="0" fillId="0" borderId="32" xfId="0" applyBorder="1" applyAlignment="1">
      <alignment horizontal="left" wrapText="1"/>
    </xf>
    <xf numFmtId="10" fontId="0" fillId="0" borderId="32" xfId="10" applyNumberFormat="1" applyFont="1" applyBorder="1" applyAlignment="1">
      <alignment horizontal="left" wrapText="1"/>
    </xf>
    <xf numFmtId="10" fontId="0" fillId="0" borderId="0" xfId="10" applyNumberFormat="1" applyFont="1" applyBorder="1" applyAlignment="1">
      <alignment horizontal="left" wrapText="1"/>
    </xf>
    <xf numFmtId="0" fontId="0" fillId="0" borderId="8" xfId="0" applyBorder="1" applyAlignment="1">
      <alignment horizontal="left" wrapText="1"/>
    </xf>
    <xf numFmtId="0" fontId="0" fillId="0" borderId="0" xfId="0" applyAlignment="1">
      <alignment horizontal="left" wrapText="1"/>
    </xf>
    <xf numFmtId="3" fontId="0" fillId="0" borderId="0" xfId="0" applyNumberFormat="1" applyAlignment="1">
      <alignment horizontal="left" wrapText="1"/>
    </xf>
    <xf numFmtId="0" fontId="0" fillId="0" borderId="41" xfId="0" applyBorder="1" applyAlignment="1">
      <alignment horizontal="left" wrapText="1"/>
    </xf>
    <xf numFmtId="10" fontId="0" fillId="0" borderId="41" xfId="0" applyNumberFormat="1" applyBorder="1" applyAlignment="1">
      <alignment horizontal="left" wrapText="1"/>
    </xf>
    <xf numFmtId="10" fontId="0" fillId="0" borderId="109" xfId="0" applyNumberFormat="1" applyBorder="1" applyAlignment="1">
      <alignment horizontal="left" wrapText="1"/>
    </xf>
    <xf numFmtId="0" fontId="0" fillId="0" borderId="109" xfId="0" applyBorder="1" applyAlignment="1">
      <alignment horizontal="left" wrapText="1"/>
    </xf>
    <xf numFmtId="0" fontId="0" fillId="9" borderId="41" xfId="0" applyFill="1" applyBorder="1" applyAlignment="1">
      <alignment horizontal="left" wrapText="1"/>
    </xf>
    <xf numFmtId="10" fontId="0" fillId="9" borderId="41" xfId="0" applyNumberFormat="1" applyFill="1" applyBorder="1" applyAlignment="1">
      <alignment horizontal="left" wrapText="1"/>
    </xf>
    <xf numFmtId="164" fontId="0" fillId="9" borderId="41" xfId="7" applyNumberFormat="1" applyFont="1" applyFill="1" applyBorder="1"/>
    <xf numFmtId="0" fontId="90" fillId="0" borderId="0" xfId="0" applyFont="1"/>
    <xf numFmtId="0" fontId="91" fillId="0" borderId="0" xfId="0" applyFont="1"/>
    <xf numFmtId="0" fontId="92" fillId="0" borderId="0" xfId="0" applyFont="1"/>
    <xf numFmtId="10" fontId="60" fillId="0" borderId="0" xfId="0" applyNumberFormat="1" applyFont="1"/>
    <xf numFmtId="170" fontId="60" fillId="0" borderId="0" xfId="0" applyNumberFormat="1" applyFont="1"/>
    <xf numFmtId="0" fontId="10" fillId="0" borderId="127" xfId="0" applyFont="1" applyBorder="1"/>
    <xf numFmtId="37" fontId="11" fillId="0" borderId="0" xfId="3" applyNumberFormat="1" applyFont="1" applyBorder="1"/>
    <xf numFmtId="37" fontId="46" fillId="0" borderId="0" xfId="3" applyNumberFormat="1" applyFont="1" applyBorder="1"/>
    <xf numFmtId="0" fontId="90" fillId="0" borderId="0" xfId="0" applyFont="1" applyAlignment="1">
      <alignment horizontal="center"/>
    </xf>
    <xf numFmtId="10" fontId="90" fillId="0" borderId="0" xfId="0" applyNumberFormat="1" applyFont="1"/>
    <xf numFmtId="6" fontId="11" fillId="0" borderId="0" xfId="5" applyNumberFormat="1" applyFont="1"/>
    <xf numFmtId="8" fontId="90" fillId="0" borderId="0" xfId="0" applyNumberFormat="1" applyFont="1"/>
    <xf numFmtId="170" fontId="90" fillId="0" borderId="0" xfId="0" applyNumberFormat="1" applyFont="1"/>
    <xf numFmtId="43" fontId="0" fillId="38" borderId="60" xfId="3" applyFont="1" applyFill="1" applyBorder="1"/>
    <xf numFmtId="43" fontId="0" fillId="38" borderId="62" xfId="3" applyFont="1" applyFill="1" applyBorder="1"/>
    <xf numFmtId="43" fontId="0" fillId="38" borderId="0" xfId="3" applyFont="1" applyFill="1" applyBorder="1"/>
    <xf numFmtId="43" fontId="0" fillId="38" borderId="59" xfId="3" applyFont="1" applyFill="1" applyBorder="1"/>
    <xf numFmtId="43" fontId="0" fillId="38" borderId="42" xfId="3" applyFont="1" applyFill="1" applyBorder="1"/>
    <xf numFmtId="43" fontId="0" fillId="38" borderId="65" xfId="3" applyFont="1" applyFill="1" applyBorder="1"/>
    <xf numFmtId="169" fontId="0" fillId="0" borderId="0" xfId="7" applyNumberFormat="1" applyFont="1" applyBorder="1"/>
    <xf numFmtId="0" fontId="10" fillId="5" borderId="0" xfId="0" applyFont="1" applyFill="1" applyAlignment="1">
      <alignment horizontal="left"/>
    </xf>
    <xf numFmtId="0" fontId="9" fillId="5" borderId="128" xfId="0" applyFont="1" applyFill="1" applyBorder="1" applyAlignment="1">
      <alignment horizontal="center"/>
    </xf>
    <xf numFmtId="3" fontId="0" fillId="0" borderId="0" xfId="0" applyNumberFormat="1" applyAlignment="1">
      <alignment horizontal="right"/>
    </xf>
    <xf numFmtId="169" fontId="23" fillId="0" borderId="0" xfId="5" applyNumberFormat="1" applyFont="1"/>
    <xf numFmtId="9" fontId="23" fillId="0" borderId="0" xfId="4" applyFont="1" applyBorder="1" applyAlignment="1">
      <alignment horizontal="right"/>
    </xf>
    <xf numFmtId="0" fontId="16" fillId="0" borderId="0" xfId="0" applyFont="1" applyAlignment="1">
      <alignment horizontal="right"/>
    </xf>
    <xf numFmtId="3" fontId="16" fillId="0" borderId="0" xfId="0" applyNumberFormat="1" applyFont="1" applyAlignment="1">
      <alignment horizontal="right"/>
    </xf>
    <xf numFmtId="10" fontId="16" fillId="0" borderId="0" xfId="0" applyNumberFormat="1" applyFont="1" applyAlignment="1">
      <alignment horizontal="right"/>
    </xf>
    <xf numFmtId="190" fontId="23" fillId="0" borderId="0" xfId="1" applyNumberFormat="1" applyFont="1"/>
    <xf numFmtId="164" fontId="5" fillId="38" borderId="0" xfId="3" applyNumberFormat="1" applyFont="1" applyFill="1" applyBorder="1"/>
    <xf numFmtId="0" fontId="11" fillId="6" borderId="0" xfId="0" applyFont="1" applyFill="1"/>
    <xf numFmtId="1" fontId="11" fillId="6" borderId="0" xfId="0" applyNumberFormat="1" applyFont="1" applyFill="1"/>
    <xf numFmtId="191" fontId="0" fillId="0" borderId="0" xfId="0" applyNumberFormat="1"/>
    <xf numFmtId="37" fontId="90" fillId="0" borderId="0" xfId="0" applyNumberFormat="1" applyFont="1"/>
    <xf numFmtId="3" fontId="90" fillId="0" borderId="0" xfId="0" applyNumberFormat="1" applyFont="1"/>
    <xf numFmtId="169" fontId="90" fillId="0" borderId="0" xfId="0" applyNumberFormat="1" applyFont="1" applyAlignment="1">
      <alignment horizontal="center"/>
    </xf>
    <xf numFmtId="169" fontId="90" fillId="0" borderId="0" xfId="0" applyNumberFormat="1" applyFont="1"/>
    <xf numFmtId="167" fontId="0" fillId="0" borderId="0" xfId="3" applyNumberFormat="1" applyFont="1"/>
    <xf numFmtId="0" fontId="9" fillId="5" borderId="0" xfId="0" applyFont="1" applyFill="1" applyAlignment="1">
      <alignment horizontal="center"/>
    </xf>
    <xf numFmtId="10" fontId="23" fillId="0" borderId="68" xfId="5" applyNumberFormat="1" applyFont="1" applyBorder="1"/>
    <xf numFmtId="0" fontId="10" fillId="0" borderId="122" xfId="0" applyFont="1" applyBorder="1"/>
    <xf numFmtId="180" fontId="10" fillId="0" borderId="2" xfId="3" applyNumberFormat="1" applyFont="1" applyBorder="1"/>
    <xf numFmtId="180" fontId="10" fillId="0" borderId="31" xfId="3" applyNumberFormat="1" applyFont="1" applyBorder="1"/>
    <xf numFmtId="0" fontId="10" fillId="5" borderId="0" xfId="0" applyFont="1" applyFill="1"/>
    <xf numFmtId="0" fontId="93" fillId="5" borderId="0" xfId="0" applyFont="1" applyFill="1" applyAlignment="1">
      <alignment horizontal="center"/>
    </xf>
    <xf numFmtId="10" fontId="27" fillId="0" borderId="0" xfId="0" applyNumberFormat="1" applyFont="1"/>
    <xf numFmtId="177" fontId="88" fillId="0" borderId="0" xfId="9" applyNumberFormat="1" applyFont="1" applyFill="1" applyAlignment="1">
      <alignment horizontal="center"/>
    </xf>
    <xf numFmtId="0" fontId="88" fillId="0" borderId="0" xfId="9" applyNumberFormat="1" applyFont="1" applyFill="1" applyAlignment="1">
      <alignment horizontal="center"/>
    </xf>
    <xf numFmtId="0" fontId="94" fillId="0" borderId="35" xfId="0" applyFont="1" applyBorder="1"/>
    <xf numFmtId="0" fontId="95" fillId="0" borderId="12" xfId="0" applyFont="1" applyBorder="1" applyAlignment="1">
      <alignment horizontal="center"/>
    </xf>
    <xf numFmtId="0" fontId="96" fillId="0" borderId="69" xfId="0" applyFont="1" applyBorder="1" applyAlignment="1">
      <alignment horizontal="center"/>
    </xf>
    <xf numFmtId="0" fontId="96" fillId="0" borderId="11" xfId="0" quotePrefix="1" applyFont="1" applyBorder="1" applyAlignment="1">
      <alignment horizontal="center"/>
    </xf>
    <xf numFmtId="0" fontId="94" fillId="0" borderId="40" xfId="0" applyFont="1" applyBorder="1"/>
    <xf numFmtId="0" fontId="95" fillId="0" borderId="54" xfId="0" applyFont="1" applyBorder="1" applyAlignment="1">
      <alignment horizontal="center"/>
    </xf>
    <xf numFmtId="164" fontId="97" fillId="46" borderId="14" xfId="7" applyNumberFormat="1" applyFont="1" applyFill="1" applyBorder="1" applyAlignment="1" applyProtection="1">
      <alignment horizontal="center"/>
      <protection locked="0"/>
    </xf>
    <xf numFmtId="164" fontId="95" fillId="0" borderId="54" xfId="7" applyNumberFormat="1" applyFont="1" applyBorder="1" applyAlignment="1">
      <alignment horizontal="center"/>
    </xf>
    <xf numFmtId="0" fontId="94" fillId="0" borderId="38" xfId="0" applyFont="1" applyBorder="1"/>
    <xf numFmtId="0" fontId="95" fillId="0" borderId="26" xfId="0" applyFont="1" applyBorder="1" applyAlignment="1">
      <alignment horizontal="center"/>
    </xf>
    <xf numFmtId="164" fontId="98" fillId="0" borderId="17" xfId="7" applyNumberFormat="1" applyFont="1" applyBorder="1" applyAlignment="1">
      <alignment horizontal="center"/>
    </xf>
    <xf numFmtId="164" fontId="98" fillId="0" borderId="0" xfId="7" applyNumberFormat="1" applyFont="1" applyAlignment="1">
      <alignment horizontal="center"/>
    </xf>
    <xf numFmtId="164" fontId="98" fillId="0" borderId="13" xfId="7" applyNumberFormat="1" applyFont="1" applyBorder="1" applyAlignment="1">
      <alignment horizontal="center"/>
    </xf>
    <xf numFmtId="164" fontId="95" fillId="0" borderId="26" xfId="7" applyNumberFormat="1" applyFont="1" applyBorder="1" applyAlignment="1">
      <alignment horizontal="center"/>
    </xf>
    <xf numFmtId="0" fontId="94" fillId="0" borderId="38" xfId="0" applyFont="1" applyBorder="1" applyAlignment="1">
      <alignment horizontal="left"/>
    </xf>
    <xf numFmtId="164" fontId="98" fillId="46" borderId="38" xfId="7" applyNumberFormat="1" applyFont="1" applyFill="1" applyBorder="1" applyAlignment="1" applyProtection="1">
      <alignment horizontal="center"/>
      <protection locked="0"/>
    </xf>
    <xf numFmtId="164" fontId="98" fillId="46" borderId="17" xfId="7" applyNumberFormat="1" applyFont="1" applyFill="1" applyBorder="1" applyAlignment="1" applyProtection="1">
      <alignment horizontal="center"/>
      <protection locked="0"/>
    </xf>
    <xf numFmtId="164" fontId="98" fillId="46" borderId="0" xfId="7" applyNumberFormat="1" applyFont="1" applyFill="1" applyAlignment="1" applyProtection="1">
      <alignment horizontal="center"/>
      <protection locked="0"/>
    </xf>
    <xf numFmtId="164" fontId="98" fillId="46" borderId="13" xfId="7" applyNumberFormat="1" applyFont="1" applyFill="1" applyBorder="1" applyAlignment="1" applyProtection="1">
      <alignment horizontal="center"/>
      <protection locked="0"/>
    </xf>
    <xf numFmtId="164" fontId="98" fillId="55" borderId="0" xfId="7" applyNumberFormat="1" applyFont="1" applyFill="1" applyAlignment="1">
      <alignment horizontal="center"/>
    </xf>
    <xf numFmtId="0" fontId="95" fillId="12" borderId="26" xfId="0" applyFont="1" applyFill="1" applyBorder="1" applyAlignment="1">
      <alignment horizontal="center"/>
    </xf>
    <xf numFmtId="164" fontId="95" fillId="47" borderId="26" xfId="0" applyNumberFormat="1" applyFont="1" applyFill="1" applyBorder="1" applyAlignment="1">
      <alignment horizontal="center"/>
    </xf>
    <xf numFmtId="164" fontId="99" fillId="0" borderId="0" xfId="7" applyNumberFormat="1" applyFont="1" applyAlignment="1">
      <alignment horizontal="center"/>
    </xf>
    <xf numFmtId="0" fontId="94" fillId="0" borderId="39" xfId="0" applyFont="1" applyBorder="1"/>
    <xf numFmtId="0" fontId="95" fillId="47" borderId="23" xfId="0" applyFont="1" applyFill="1" applyBorder="1" applyAlignment="1">
      <alignment horizontal="center"/>
    </xf>
    <xf numFmtId="164" fontId="98" fillId="0" borderId="18" xfId="7" applyNumberFormat="1" applyFont="1" applyBorder="1" applyAlignment="1">
      <alignment horizontal="center"/>
    </xf>
    <xf numFmtId="164" fontId="98" fillId="0" borderId="19" xfId="7" applyNumberFormat="1" applyFont="1" applyBorder="1" applyAlignment="1">
      <alignment horizontal="center"/>
    </xf>
    <xf numFmtId="180" fontId="98" fillId="0" borderId="19" xfId="7" applyNumberFormat="1" applyFont="1" applyBorder="1" applyAlignment="1">
      <alignment horizontal="center"/>
    </xf>
    <xf numFmtId="164" fontId="98" fillId="0" borderId="20" xfId="7" applyNumberFormat="1" applyFont="1" applyBorder="1" applyAlignment="1">
      <alignment horizontal="center"/>
    </xf>
    <xf numFmtId="0" fontId="95" fillId="0" borderId="0" xfId="0" applyFont="1" applyAlignment="1">
      <alignment horizontal="center"/>
    </xf>
    <xf numFmtId="165" fontId="98" fillId="0" borderId="38" xfId="7" applyNumberFormat="1" applyFont="1" applyBorder="1" applyAlignment="1">
      <alignment horizontal="center"/>
    </xf>
    <xf numFmtId="165" fontId="98" fillId="0" borderId="0" xfId="7" applyNumberFormat="1" applyFont="1" applyAlignment="1">
      <alignment horizontal="center"/>
    </xf>
    <xf numFmtId="165" fontId="95" fillId="0" borderId="70" xfId="7" applyNumberFormat="1" applyFont="1" applyBorder="1" applyAlignment="1">
      <alignment horizontal="center"/>
    </xf>
    <xf numFmtId="177" fontId="95" fillId="46" borderId="0" xfId="9" applyNumberFormat="1" applyFont="1" applyFill="1" applyAlignment="1" applyProtection="1">
      <alignment horizontal="center"/>
      <protection locked="0"/>
    </xf>
    <xf numFmtId="164" fontId="98" fillId="0" borderId="38" xfId="7" applyNumberFormat="1" applyFont="1" applyBorder="1" applyAlignment="1">
      <alignment horizontal="center"/>
    </xf>
    <xf numFmtId="177" fontId="95" fillId="0" borderId="22" xfId="9" applyNumberFormat="1" applyFont="1" applyBorder="1" applyAlignment="1">
      <alignment horizontal="center"/>
    </xf>
    <xf numFmtId="177" fontId="98" fillId="46" borderId="39" xfId="9" applyNumberFormat="1" applyFont="1" applyFill="1" applyBorder="1" applyAlignment="1" applyProtection="1">
      <alignment horizontal="center"/>
      <protection locked="0"/>
    </xf>
    <xf numFmtId="177" fontId="98" fillId="46" borderId="1" xfId="9" applyNumberFormat="1" applyFont="1" applyFill="1" applyBorder="1" applyAlignment="1" applyProtection="1">
      <alignment horizontal="center"/>
      <protection locked="0"/>
    </xf>
    <xf numFmtId="177" fontId="95" fillId="0" borderId="71" xfId="9" applyNumberFormat="1" applyFont="1" applyBorder="1" applyAlignment="1">
      <alignment horizontal="center"/>
    </xf>
    <xf numFmtId="164" fontId="98" fillId="0" borderId="39" xfId="7" applyNumberFormat="1" applyFont="1" applyBorder="1" applyAlignment="1">
      <alignment horizontal="center"/>
    </xf>
    <xf numFmtId="164" fontId="98" fillId="0" borderId="1" xfId="7" applyNumberFormat="1" applyFont="1" applyBorder="1" applyAlignment="1">
      <alignment horizontal="center"/>
    </xf>
    <xf numFmtId="164" fontId="98" fillId="0" borderId="23" xfId="7" applyNumberFormat="1" applyFont="1" applyBorder="1" applyAlignment="1">
      <alignment horizontal="center"/>
    </xf>
    <xf numFmtId="177" fontId="95" fillId="0" borderId="11" xfId="9" applyNumberFormat="1" applyFont="1" applyBorder="1" applyAlignment="1">
      <alignment horizontal="center"/>
    </xf>
    <xf numFmtId="0" fontId="100" fillId="0" borderId="12" xfId="0" applyFont="1" applyBorder="1" applyAlignment="1">
      <alignment horizontal="center"/>
    </xf>
    <xf numFmtId="3" fontId="94" fillId="0" borderId="69" xfId="0" applyNumberFormat="1" applyFont="1" applyBorder="1" applyAlignment="1">
      <alignment horizontal="center"/>
    </xf>
    <xf numFmtId="0" fontId="94" fillId="0" borderId="69" xfId="0" applyFont="1" applyBorder="1" applyAlignment="1">
      <alignment horizontal="center"/>
    </xf>
    <xf numFmtId="0" fontId="100" fillId="0" borderId="54" xfId="0" applyFont="1" applyBorder="1" applyAlignment="1">
      <alignment horizontal="center"/>
    </xf>
    <xf numFmtId="3" fontId="97" fillId="55" borderId="14" xfId="7" applyNumberFormat="1" applyFont="1" applyFill="1" applyBorder="1" applyAlignment="1" applyProtection="1">
      <alignment horizontal="center"/>
      <protection locked="0"/>
    </xf>
    <xf numFmtId="164" fontId="97" fillId="55" borderId="14" xfId="7" applyNumberFormat="1" applyFont="1" applyFill="1" applyBorder="1" applyAlignment="1" applyProtection="1">
      <alignment horizontal="center"/>
      <protection locked="0"/>
    </xf>
    <xf numFmtId="0" fontId="100" fillId="0" borderId="26" xfId="0" applyFont="1" applyBorder="1" applyAlignment="1">
      <alignment horizontal="center"/>
    </xf>
    <xf numFmtId="3" fontId="98" fillId="0" borderId="17" xfId="7" applyNumberFormat="1" applyFont="1" applyBorder="1" applyAlignment="1">
      <alignment horizontal="center"/>
    </xf>
    <xf numFmtId="3" fontId="98" fillId="0" borderId="0" xfId="7" applyNumberFormat="1" applyFont="1" applyAlignment="1">
      <alignment horizontal="center"/>
    </xf>
    <xf numFmtId="164" fontId="100" fillId="0" borderId="26" xfId="7" applyNumberFormat="1" applyFont="1" applyBorder="1" applyAlignment="1">
      <alignment horizontal="center"/>
    </xf>
    <xf numFmtId="3" fontId="98" fillId="55" borderId="17" xfId="7" applyNumberFormat="1" applyFont="1" applyFill="1" applyBorder="1" applyAlignment="1" applyProtection="1">
      <alignment horizontal="center"/>
      <protection locked="0"/>
    </xf>
    <xf numFmtId="164" fontId="98" fillId="55" borderId="38" xfId="7" applyNumberFormat="1" applyFont="1" applyFill="1" applyBorder="1" applyAlignment="1" applyProtection="1">
      <alignment horizontal="center"/>
      <protection locked="0"/>
    </xf>
    <xf numFmtId="164" fontId="98" fillId="55" borderId="89" xfId="7" applyNumberFormat="1" applyFont="1" applyFill="1" applyBorder="1" applyAlignment="1" applyProtection="1">
      <alignment horizontal="center"/>
      <protection locked="0"/>
    </xf>
    <xf numFmtId="3" fontId="98" fillId="55" borderId="0" xfId="7" applyNumberFormat="1" applyFont="1" applyFill="1" applyAlignment="1" applyProtection="1">
      <alignment horizontal="center"/>
      <protection locked="0"/>
    </xf>
    <xf numFmtId="164" fontId="98" fillId="55" borderId="0" xfId="7" applyNumberFormat="1" applyFont="1" applyFill="1" applyAlignment="1" applyProtection="1">
      <alignment horizontal="center"/>
      <protection locked="0"/>
    </xf>
    <xf numFmtId="164" fontId="98" fillId="55" borderId="13" xfId="7" applyNumberFormat="1" applyFont="1" applyFill="1" applyBorder="1" applyAlignment="1" applyProtection="1">
      <alignment horizontal="center"/>
      <protection locked="0"/>
    </xf>
    <xf numFmtId="164" fontId="100" fillId="55" borderId="26" xfId="0" applyNumberFormat="1" applyFont="1" applyFill="1" applyBorder="1" applyAlignment="1">
      <alignment horizontal="center"/>
    </xf>
    <xf numFmtId="0" fontId="100" fillId="55" borderId="23" xfId="0" applyFont="1" applyFill="1" applyBorder="1" applyAlignment="1">
      <alignment horizontal="center"/>
    </xf>
    <xf numFmtId="0" fontId="100" fillId="0" borderId="0" xfId="0" applyFont="1" applyAlignment="1">
      <alignment horizontal="center"/>
    </xf>
    <xf numFmtId="165" fontId="100" fillId="0" borderId="70" xfId="7" applyNumberFormat="1" applyFont="1" applyBorder="1" applyAlignment="1">
      <alignment horizontal="center"/>
    </xf>
    <xf numFmtId="177" fontId="100" fillId="55" borderId="0" xfId="9" applyNumberFormat="1" applyFont="1" applyFill="1" applyAlignment="1" applyProtection="1">
      <alignment horizontal="center"/>
      <protection locked="0"/>
    </xf>
    <xf numFmtId="0" fontId="98" fillId="0" borderId="38" xfId="9" applyNumberFormat="1" applyFont="1" applyBorder="1" applyAlignment="1">
      <alignment horizontal="center"/>
    </xf>
    <xf numFmtId="177" fontId="100" fillId="0" borderId="22" xfId="9" applyNumberFormat="1" applyFont="1" applyBorder="1" applyAlignment="1">
      <alignment horizontal="center"/>
    </xf>
    <xf numFmtId="186" fontId="100" fillId="55" borderId="0" xfId="9" applyNumberFormat="1" applyFont="1" applyFill="1" applyAlignment="1" applyProtection="1">
      <alignment horizontal="center"/>
      <protection locked="0"/>
    </xf>
    <xf numFmtId="177" fontId="100" fillId="55" borderId="39" xfId="9" applyNumberFormat="1" applyFont="1" applyFill="1" applyBorder="1" applyAlignment="1" applyProtection="1">
      <alignment horizontal="center"/>
      <protection locked="0"/>
    </xf>
    <xf numFmtId="177" fontId="100" fillId="55" borderId="1" xfId="9" applyNumberFormat="1" applyFont="1" applyFill="1" applyBorder="1" applyAlignment="1" applyProtection="1">
      <alignment horizontal="center"/>
      <protection locked="0"/>
    </xf>
    <xf numFmtId="177" fontId="100" fillId="0" borderId="71" xfId="9" applyNumberFormat="1" applyFont="1" applyBorder="1" applyAlignment="1">
      <alignment horizontal="center"/>
    </xf>
    <xf numFmtId="37" fontId="98" fillId="0" borderId="17" xfId="7" applyNumberFormat="1" applyFont="1" applyBorder="1" applyAlignment="1">
      <alignment horizontal="center"/>
    </xf>
    <xf numFmtId="37" fontId="98" fillId="0" borderId="0" xfId="7" applyNumberFormat="1" applyFont="1" applyAlignment="1">
      <alignment horizontal="center"/>
    </xf>
    <xf numFmtId="1" fontId="98" fillId="0" borderId="39" xfId="9" applyNumberFormat="1" applyFont="1" applyBorder="1" applyAlignment="1">
      <alignment horizontal="center"/>
    </xf>
    <xf numFmtId="0" fontId="100" fillId="0" borderId="1" xfId="9" applyNumberFormat="1" applyFont="1" applyBorder="1" applyAlignment="1">
      <alignment horizontal="center"/>
    </xf>
    <xf numFmtId="0" fontId="100" fillId="0" borderId="23" xfId="9" applyNumberFormat="1" applyFont="1" applyBorder="1" applyAlignment="1">
      <alignment horizontal="center"/>
    </xf>
    <xf numFmtId="0" fontId="98" fillId="0" borderId="1" xfId="9" applyNumberFormat="1" applyFont="1" applyBorder="1" applyAlignment="1">
      <alignment horizontal="center"/>
    </xf>
    <xf numFmtId="164" fontId="98" fillId="0" borderId="38" xfId="9" applyNumberFormat="1" applyFont="1" applyBorder="1" applyAlignment="1">
      <alignment horizontal="center"/>
    </xf>
    <xf numFmtId="1" fontId="98" fillId="0" borderId="38" xfId="9" applyNumberFormat="1" applyFont="1" applyBorder="1" applyAlignment="1">
      <alignment horizontal="center"/>
    </xf>
    <xf numFmtId="0" fontId="94" fillId="0" borderId="75" xfId="0" quotePrefix="1" applyFont="1" applyBorder="1" applyAlignment="1">
      <alignment horizontal="center"/>
    </xf>
    <xf numFmtId="164" fontId="101" fillId="0" borderId="41" xfId="3" applyNumberFormat="1" applyFont="1" applyBorder="1"/>
    <xf numFmtId="0" fontId="21" fillId="5" borderId="0" xfId="0" applyFont="1" applyFill="1" applyAlignment="1">
      <alignment horizontal="center"/>
    </xf>
    <xf numFmtId="0" fontId="82" fillId="5" borderId="0" xfId="0" applyFont="1" applyFill="1" applyAlignment="1">
      <alignment horizontal="center" vertical="center" wrapText="1"/>
    </xf>
    <xf numFmtId="0" fontId="88" fillId="35" borderId="0" xfId="0" applyFont="1" applyFill="1" applyAlignment="1">
      <alignment vertical="center" wrapText="1"/>
    </xf>
    <xf numFmtId="177" fontId="102" fillId="0" borderId="22" xfId="9" applyNumberFormat="1" applyFont="1" applyBorder="1" applyAlignment="1">
      <alignment horizontal="center"/>
    </xf>
    <xf numFmtId="177" fontId="102" fillId="0" borderId="11" xfId="9" applyNumberFormat="1" applyFont="1" applyBorder="1" applyAlignment="1">
      <alignment horizontal="center"/>
    </xf>
    <xf numFmtId="0" fontId="88" fillId="0" borderId="0" xfId="0" applyFont="1" applyAlignment="1">
      <alignment vertical="center" wrapText="1"/>
    </xf>
    <xf numFmtId="0" fontId="103" fillId="0" borderId="0" xfId="0" applyFont="1"/>
    <xf numFmtId="0" fontId="104" fillId="0" borderId="0" xfId="0" applyFont="1"/>
    <xf numFmtId="0" fontId="89" fillId="0" borderId="0" xfId="0" applyFont="1"/>
    <xf numFmtId="0" fontId="88" fillId="0" borderId="12" xfId="0" applyFont="1" applyBorder="1" applyAlignment="1">
      <alignment vertical="center" wrapText="1"/>
    </xf>
    <xf numFmtId="0" fontId="65" fillId="0" borderId="0" xfId="0" applyFont="1"/>
    <xf numFmtId="0" fontId="66" fillId="0" borderId="0" xfId="0" applyFont="1"/>
    <xf numFmtId="0" fontId="65" fillId="0" borderId="0" xfId="0" applyFont="1" applyAlignment="1">
      <alignment wrapText="1"/>
    </xf>
    <xf numFmtId="9" fontId="66" fillId="0" borderId="0" xfId="0" applyNumberFormat="1" applyFont="1"/>
    <xf numFmtId="6" fontId="71" fillId="0" borderId="0" xfId="0" applyNumberFormat="1" applyFont="1"/>
    <xf numFmtId="3" fontId="71" fillId="0" borderId="0" xfId="0" applyNumberFormat="1" applyFont="1"/>
    <xf numFmtId="3" fontId="66" fillId="0" borderId="0" xfId="0" applyNumberFormat="1" applyFont="1"/>
    <xf numFmtId="0" fontId="66" fillId="0" borderId="0" xfId="0" applyFont="1" applyAlignment="1">
      <alignment wrapText="1"/>
    </xf>
    <xf numFmtId="8" fontId="71" fillId="0" borderId="0" xfId="0" applyNumberFormat="1" applyFont="1"/>
    <xf numFmtId="0" fontId="71" fillId="0" borderId="0" xfId="0" applyFont="1"/>
    <xf numFmtId="0" fontId="12" fillId="0" borderId="0" xfId="6" applyFill="1" applyBorder="1"/>
    <xf numFmtId="0" fontId="0" fillId="0" borderId="40" xfId="0" applyBorder="1" applyAlignment="1">
      <alignment wrapText="1"/>
    </xf>
    <xf numFmtId="0" fontId="0" fillId="0" borderId="69" xfId="0" applyBorder="1" applyAlignment="1">
      <alignment wrapText="1"/>
    </xf>
    <xf numFmtId="9" fontId="0" fillId="0" borderId="54" xfId="0" applyNumberFormat="1" applyBorder="1" applyAlignment="1">
      <alignment wrapText="1"/>
    </xf>
    <xf numFmtId="9" fontId="0" fillId="0" borderId="26" xfId="0" applyNumberFormat="1" applyBorder="1" applyAlignment="1">
      <alignment wrapText="1"/>
    </xf>
    <xf numFmtId="0" fontId="0" fillId="0" borderId="23" xfId="0" applyBorder="1" applyAlignment="1">
      <alignment wrapText="1"/>
    </xf>
    <xf numFmtId="9" fontId="0" fillId="0" borderId="54" xfId="10" applyFont="1" applyBorder="1" applyAlignment="1">
      <alignment wrapText="1"/>
    </xf>
    <xf numFmtId="9" fontId="0" fillId="0" borderId="26" xfId="10" applyFont="1" applyBorder="1" applyAlignment="1">
      <alignment wrapText="1"/>
    </xf>
    <xf numFmtId="9" fontId="0" fillId="0" borderId="23" xfId="10" applyFont="1" applyBorder="1" applyAlignment="1">
      <alignment wrapText="1"/>
    </xf>
    <xf numFmtId="0" fontId="11" fillId="0" borderId="5" xfId="0" applyFont="1" applyBorder="1"/>
    <xf numFmtId="0" fontId="19" fillId="0" borderId="4" xfId="0" applyFont="1" applyBorder="1"/>
    <xf numFmtId="0" fontId="0" fillId="0" borderId="6" xfId="0" applyBorder="1" applyAlignment="1">
      <alignment horizontal="left" indent="1"/>
    </xf>
    <xf numFmtId="0" fontId="32" fillId="0" borderId="0" xfId="0" applyFont="1"/>
    <xf numFmtId="0" fontId="10" fillId="43" borderId="4" xfId="0" applyFont="1" applyFill="1" applyBorder="1"/>
    <xf numFmtId="0" fontId="10" fillId="43" borderId="5" xfId="0" applyFont="1" applyFill="1" applyBorder="1"/>
    <xf numFmtId="0" fontId="0" fillId="43" borderId="5" xfId="0" applyFill="1" applyBorder="1"/>
    <xf numFmtId="0" fontId="0" fillId="43" borderId="33" xfId="0" applyFill="1" applyBorder="1"/>
    <xf numFmtId="44" fontId="0" fillId="0" borderId="0" xfId="9" applyFont="1" applyBorder="1" applyAlignment="1">
      <alignment horizontal="center"/>
    </xf>
    <xf numFmtId="0" fontId="0" fillId="0" borderId="32" xfId="0" applyBorder="1" applyAlignment="1">
      <alignment horizontal="center"/>
    </xf>
    <xf numFmtId="6" fontId="0" fillId="6" borderId="0" xfId="0" applyNumberFormat="1" applyFill="1"/>
    <xf numFmtId="44" fontId="0" fillId="0" borderId="0" xfId="0" applyNumberFormat="1" applyAlignment="1">
      <alignment horizontal="center"/>
    </xf>
    <xf numFmtId="44" fontId="0" fillId="3" borderId="0" xfId="0" applyNumberFormat="1" applyFill="1"/>
    <xf numFmtId="0" fontId="0" fillId="3" borderId="0" xfId="0" applyFill="1"/>
    <xf numFmtId="44" fontId="0" fillId="0" borderId="5" xfId="9" applyFont="1" applyBorder="1"/>
    <xf numFmtId="0" fontId="10" fillId="43" borderId="6" xfId="0" applyFont="1" applyFill="1" applyBorder="1"/>
    <xf numFmtId="0" fontId="10" fillId="43" borderId="0" xfId="0" applyFont="1" applyFill="1"/>
    <xf numFmtId="44" fontId="0" fillId="43" borderId="0" xfId="9" applyFont="1" applyFill="1" applyBorder="1"/>
    <xf numFmtId="0" fontId="0" fillId="43" borderId="32" xfId="0" applyFill="1" applyBorder="1"/>
    <xf numFmtId="0" fontId="0" fillId="43" borderId="6" xfId="0" applyFill="1" applyBorder="1"/>
    <xf numFmtId="0" fontId="10" fillId="43" borderId="6" xfId="0" applyFont="1" applyFill="1" applyBorder="1" applyAlignment="1">
      <alignment horizontal="left" indent="1"/>
    </xf>
    <xf numFmtId="44" fontId="0" fillId="43" borderId="0" xfId="9" applyFont="1" applyFill="1" applyBorder="1" applyAlignment="1">
      <alignment horizontal="center"/>
    </xf>
    <xf numFmtId="0" fontId="0" fillId="43" borderId="0" xfId="0" applyFill="1" applyAlignment="1">
      <alignment horizontal="center" wrapText="1"/>
    </xf>
    <xf numFmtId="0" fontId="0" fillId="43" borderId="32" xfId="0" applyFill="1" applyBorder="1" applyAlignment="1">
      <alignment horizontal="center"/>
    </xf>
    <xf numFmtId="0" fontId="0" fillId="0" borderId="6" xfId="0" applyBorder="1" applyAlignment="1">
      <alignment horizontal="left" wrapText="1" indent="1"/>
    </xf>
    <xf numFmtId="6" fontId="0" fillId="42" borderId="0" xfId="0" applyNumberFormat="1" applyFill="1" applyAlignment="1">
      <alignment horizontal="center"/>
    </xf>
    <xf numFmtId="6" fontId="0" fillId="42" borderId="0" xfId="0" applyNumberFormat="1" applyFill="1" applyAlignment="1">
      <alignment horizontal="center" wrapText="1"/>
    </xf>
    <xf numFmtId="0" fontId="0" fillId="42" borderId="0" xfId="0" applyFill="1"/>
    <xf numFmtId="44" fontId="11" fillId="0" borderId="5" xfId="9" applyFont="1" applyBorder="1"/>
    <xf numFmtId="0" fontId="11" fillId="0" borderId="33" xfId="0" applyFont="1" applyBorder="1"/>
    <xf numFmtId="0" fontId="19" fillId="43" borderId="6" xfId="0" applyFont="1" applyFill="1" applyBorder="1"/>
    <xf numFmtId="0" fontId="19" fillId="43" borderId="0" xfId="0" applyFont="1" applyFill="1"/>
    <xf numFmtId="0" fontId="11" fillId="43" borderId="0" xfId="0" applyFont="1" applyFill="1"/>
    <xf numFmtId="44" fontId="11" fillId="43" borderId="0" xfId="9" applyFont="1" applyFill="1" applyBorder="1"/>
    <xf numFmtId="0" fontId="11" fillId="43" borderId="32" xfId="0" applyFont="1" applyFill="1" applyBorder="1"/>
    <xf numFmtId="0" fontId="11" fillId="0" borderId="6" xfId="0" applyFont="1" applyBorder="1"/>
    <xf numFmtId="44" fontId="11" fillId="0" borderId="0" xfId="9" applyFont="1" applyBorder="1" applyAlignment="1">
      <alignment horizontal="center"/>
    </xf>
    <xf numFmtId="0" fontId="11" fillId="0" borderId="32" xfId="0" applyFont="1" applyBorder="1" applyAlignment="1">
      <alignment horizontal="center"/>
    </xf>
    <xf numFmtId="0" fontId="11" fillId="0" borderId="6" xfId="0" applyFont="1" applyBorder="1" applyAlignment="1">
      <alignment horizontal="left" indent="1"/>
    </xf>
    <xf numFmtId="6" fontId="11" fillId="0" borderId="0" xfId="0" applyNumberFormat="1" applyFont="1" applyAlignment="1">
      <alignment horizontal="center"/>
    </xf>
    <xf numFmtId="0" fontId="11" fillId="50" borderId="0" xfId="0" applyFont="1" applyFill="1"/>
    <xf numFmtId="6" fontId="11" fillId="50" borderId="0" xfId="0" applyNumberFormat="1" applyFont="1" applyFill="1"/>
    <xf numFmtId="44" fontId="11" fillId="0" borderId="0" xfId="0" applyNumberFormat="1" applyFont="1"/>
    <xf numFmtId="44" fontId="11" fillId="0" borderId="0" xfId="0" applyNumberFormat="1" applyFont="1" applyAlignment="1">
      <alignment horizontal="center"/>
    </xf>
    <xf numFmtId="44" fontId="11" fillId="0" borderId="32" xfId="0" applyNumberFormat="1" applyFont="1" applyBorder="1"/>
    <xf numFmtId="44" fontId="11" fillId="51" borderId="0" xfId="0" applyNumberFormat="1" applyFont="1" applyFill="1"/>
    <xf numFmtId="0" fontId="11" fillId="51" borderId="0" xfId="0" applyFont="1" applyFill="1"/>
    <xf numFmtId="0" fontId="19" fillId="43" borderId="6" xfId="0" applyFont="1" applyFill="1" applyBorder="1" applyAlignment="1">
      <alignment horizontal="left" indent="1"/>
    </xf>
    <xf numFmtId="0" fontId="11" fillId="43" borderId="0" xfId="0" applyFont="1" applyFill="1" applyAlignment="1">
      <alignment horizontal="center"/>
    </xf>
    <xf numFmtId="44" fontId="11" fillId="43" borderId="0" xfId="9" applyFont="1" applyFill="1" applyBorder="1" applyAlignment="1">
      <alignment horizontal="center"/>
    </xf>
    <xf numFmtId="0" fontId="11" fillId="43" borderId="0" xfId="0" applyFont="1" applyFill="1" applyAlignment="1">
      <alignment horizontal="center" wrapText="1"/>
    </xf>
    <xf numFmtId="0" fontId="11" fillId="0" borderId="6" xfId="0" applyFont="1" applyBorder="1" applyAlignment="1">
      <alignment horizontal="left" wrapText="1" indent="1"/>
    </xf>
    <xf numFmtId="6" fontId="11" fillId="52" borderId="0" xfId="0" applyNumberFormat="1" applyFont="1" applyFill="1" applyAlignment="1">
      <alignment horizontal="center" wrapText="1"/>
    </xf>
    <xf numFmtId="0" fontId="11" fillId="52" borderId="0" xfId="0" applyFont="1" applyFill="1"/>
    <xf numFmtId="6" fontId="11" fillId="52" borderId="0" xfId="0" applyNumberFormat="1" applyFont="1" applyFill="1" applyAlignment="1">
      <alignment horizontal="center"/>
    </xf>
    <xf numFmtId="0" fontId="11" fillId="0" borderId="8" xfId="0" applyFont="1" applyBorder="1"/>
    <xf numFmtId="44" fontId="11" fillId="0" borderId="2" xfId="9" applyFont="1" applyBorder="1"/>
    <xf numFmtId="0" fontId="11" fillId="0" borderId="2" xfId="0" applyFont="1" applyBorder="1" applyAlignment="1">
      <alignment horizontal="right"/>
    </xf>
    <xf numFmtId="44" fontId="11" fillId="0" borderId="31" xfId="0" applyNumberFormat="1" applyFont="1" applyBorder="1"/>
    <xf numFmtId="0" fontId="33" fillId="0" borderId="0" xfId="0" applyFont="1"/>
    <xf numFmtId="0" fontId="34" fillId="0" borderId="0" xfId="0" applyFont="1"/>
    <xf numFmtId="44" fontId="23" fillId="0" borderId="0" xfId="9" applyFont="1" applyFill="1"/>
    <xf numFmtId="0" fontId="11" fillId="0" borderId="130" xfId="0" applyFont="1" applyBorder="1"/>
    <xf numFmtId="0" fontId="11" fillId="0" borderId="131" xfId="0" applyFont="1" applyBorder="1"/>
    <xf numFmtId="43" fontId="11" fillId="0" borderId="26" xfId="0" applyNumberFormat="1" applyFont="1" applyBorder="1"/>
    <xf numFmtId="0" fontId="38" fillId="0" borderId="131" xfId="0" applyFont="1" applyBorder="1"/>
    <xf numFmtId="0" fontId="19" fillId="0" borderId="132" xfId="0" applyFont="1" applyBorder="1"/>
    <xf numFmtId="177" fontId="11" fillId="0" borderId="12" xfId="0" applyNumberFormat="1" applyFont="1" applyBorder="1"/>
    <xf numFmtId="0" fontId="19" fillId="0" borderId="11" xfId="0" applyFont="1" applyBorder="1"/>
    <xf numFmtId="0" fontId="1" fillId="0" borderId="0" xfId="0" applyFont="1" applyAlignment="1">
      <alignment horizontal="center" wrapText="1"/>
    </xf>
    <xf numFmtId="0" fontId="79" fillId="5" borderId="0" xfId="0" applyFont="1" applyFill="1"/>
    <xf numFmtId="0" fontId="12" fillId="0" borderId="0" xfId="6" applyAlignment="1">
      <alignment vertical="center" wrapText="1"/>
    </xf>
    <xf numFmtId="177" fontId="60" fillId="8" borderId="34" xfId="18" applyNumberFormat="1" applyFont="1" applyFill="1" applyBorder="1" applyAlignment="1">
      <alignment horizontal="center" wrapText="1"/>
    </xf>
    <xf numFmtId="164" fontId="27" fillId="38" borderId="0" xfId="3" applyNumberFormat="1" applyFont="1" applyFill="1"/>
    <xf numFmtId="0" fontId="21" fillId="5" borderId="75" xfId="0" applyFont="1" applyFill="1" applyBorder="1"/>
    <xf numFmtId="0" fontId="21" fillId="5" borderId="54" xfId="0" applyFont="1" applyFill="1" applyBorder="1" applyAlignment="1">
      <alignment horizontal="center"/>
    </xf>
    <xf numFmtId="44" fontId="11" fillId="0" borderId="26" xfId="9" applyFont="1" applyBorder="1"/>
    <xf numFmtId="0" fontId="21" fillId="5" borderId="119" xfId="0" applyFont="1" applyFill="1" applyBorder="1"/>
    <xf numFmtId="0" fontId="21" fillId="5" borderId="120" xfId="0" applyFont="1" applyFill="1" applyBorder="1" applyAlignment="1">
      <alignment horizontal="center"/>
    </xf>
    <xf numFmtId="0" fontId="0" fillId="41" borderId="0" xfId="0" applyFill="1" applyAlignment="1">
      <alignment wrapText="1"/>
    </xf>
    <xf numFmtId="0" fontId="60" fillId="0" borderId="0" xfId="0" applyFont="1" applyAlignment="1">
      <alignment horizontal="left" wrapText="1" indent="1"/>
    </xf>
    <xf numFmtId="0" fontId="60" fillId="0" borderId="0" xfId="0" applyFont="1" applyAlignment="1">
      <alignment horizontal="left" indent="1"/>
    </xf>
    <xf numFmtId="0" fontId="73" fillId="0" borderId="0" xfId="0" applyFont="1"/>
    <xf numFmtId="0" fontId="60" fillId="0" borderId="0" xfId="0" quotePrefix="1" applyFont="1"/>
    <xf numFmtId="0" fontId="81" fillId="14" borderId="0" xfId="0" applyFont="1" applyFill="1" applyAlignment="1">
      <alignment horizontal="center"/>
    </xf>
    <xf numFmtId="0" fontId="81" fillId="0" borderId="0" xfId="0" applyFont="1" applyAlignment="1">
      <alignment horizontal="left"/>
    </xf>
    <xf numFmtId="0" fontId="62" fillId="19" borderId="0" xfId="0" applyFont="1" applyFill="1" applyAlignment="1">
      <alignment horizontal="center"/>
    </xf>
    <xf numFmtId="0" fontId="73" fillId="11" borderId="1" xfId="0" applyFont="1" applyFill="1" applyBorder="1" applyAlignment="1">
      <alignment horizontal="center"/>
    </xf>
    <xf numFmtId="0" fontId="73" fillId="26" borderId="0" xfId="0" applyFont="1" applyFill="1" applyAlignment="1">
      <alignment horizontal="center"/>
    </xf>
    <xf numFmtId="0" fontId="81" fillId="0" borderId="0" xfId="0" applyFont="1" applyAlignment="1">
      <alignment horizontal="left" indent="1" readingOrder="1"/>
    </xf>
    <xf numFmtId="0" fontId="73" fillId="0" borderId="2" xfId="0" applyFont="1" applyBorder="1"/>
    <xf numFmtId="0" fontId="73" fillId="0" borderId="0" xfId="0" applyFont="1" applyAlignment="1">
      <alignment horizontal="left" indent="1"/>
    </xf>
    <xf numFmtId="0" fontId="73" fillId="23" borderId="0" xfId="0" applyFont="1" applyFill="1" applyAlignment="1">
      <alignment horizontal="center"/>
    </xf>
    <xf numFmtId="0" fontId="109" fillId="5" borderId="0" xfId="0" applyFont="1" applyFill="1" applyAlignment="1">
      <alignment horizontal="center"/>
    </xf>
    <xf numFmtId="0" fontId="109" fillId="5" borderId="0" xfId="0" applyFont="1" applyFill="1"/>
    <xf numFmtId="170" fontId="109" fillId="5" borderId="0" xfId="0" applyNumberFormat="1" applyFont="1" applyFill="1" applyAlignment="1">
      <alignment horizontal="center"/>
    </xf>
    <xf numFmtId="10" fontId="109" fillId="5" borderId="0" xfId="0" applyNumberFormat="1" applyFont="1" applyFill="1" applyAlignment="1">
      <alignment horizontal="center" wrapText="1"/>
    </xf>
    <xf numFmtId="0" fontId="73" fillId="20" borderId="0" xfId="0" applyFont="1" applyFill="1" applyAlignment="1">
      <alignment horizontal="center"/>
    </xf>
    <xf numFmtId="0" fontId="73" fillId="56" borderId="0" xfId="0" applyFont="1" applyFill="1" applyAlignment="1">
      <alignment horizontal="center"/>
    </xf>
    <xf numFmtId="0" fontId="81" fillId="0" borderId="0" xfId="0" applyFont="1"/>
    <xf numFmtId="0" fontId="81" fillId="18" borderId="0" xfId="0" applyFont="1" applyFill="1" applyAlignment="1">
      <alignment horizontal="center"/>
    </xf>
    <xf numFmtId="0" fontId="81" fillId="56" borderId="0" xfId="0" applyFont="1" applyFill="1" applyAlignment="1">
      <alignment horizontal="center"/>
    </xf>
    <xf numFmtId="0" fontId="81" fillId="32" borderId="0" xfId="0" applyFont="1" applyFill="1"/>
    <xf numFmtId="0" fontId="110" fillId="32" borderId="0" xfId="0" applyFont="1" applyFill="1"/>
    <xf numFmtId="44" fontId="60" fillId="0" borderId="0" xfId="0" applyNumberFormat="1" applyFont="1"/>
    <xf numFmtId="0" fontId="81" fillId="30" borderId="0" xfId="0" applyFont="1" applyFill="1"/>
    <xf numFmtId="0" fontId="111" fillId="30" borderId="0" xfId="0" applyFont="1" applyFill="1"/>
    <xf numFmtId="0" fontId="60" fillId="29" borderId="0" xfId="0" applyFont="1" applyFill="1"/>
    <xf numFmtId="0" fontId="81" fillId="29" borderId="0" xfId="0" applyFont="1" applyFill="1"/>
    <xf numFmtId="0" fontId="60" fillId="33" borderId="0" xfId="0" applyFont="1" applyFill="1"/>
    <xf numFmtId="0" fontId="81" fillId="33" borderId="0" xfId="0" applyFont="1" applyFill="1"/>
    <xf numFmtId="0" fontId="60" fillId="31" borderId="0" xfId="0" applyFont="1" applyFill="1"/>
    <xf numFmtId="0" fontId="81" fillId="31" borderId="0" xfId="0" applyFont="1" applyFill="1"/>
    <xf numFmtId="0" fontId="60" fillId="28" borderId="0" xfId="0" applyFont="1" applyFill="1"/>
    <xf numFmtId="0" fontId="81" fillId="28" borderId="0" xfId="0" applyFont="1" applyFill="1"/>
    <xf numFmtId="0" fontId="81" fillId="27" borderId="0" xfId="0" applyFont="1" applyFill="1"/>
    <xf numFmtId="0" fontId="81" fillId="0" borderId="1" xfId="0" applyFont="1" applyBorder="1"/>
    <xf numFmtId="170" fontId="60" fillId="0" borderId="1" xfId="0" applyNumberFormat="1" applyFont="1" applyBorder="1"/>
    <xf numFmtId="0" fontId="60" fillId="0" borderId="1" xfId="0" applyFont="1" applyBorder="1"/>
    <xf numFmtId="10" fontId="60" fillId="0" borderId="1" xfId="0" applyNumberFormat="1" applyFont="1" applyBorder="1"/>
    <xf numFmtId="0" fontId="81" fillId="25" borderId="0" xfId="0" applyFont="1" applyFill="1"/>
    <xf numFmtId="170" fontId="60" fillId="24" borderId="0" xfId="0" applyNumberFormat="1" applyFont="1" applyFill="1"/>
    <xf numFmtId="10" fontId="60" fillId="53" borderId="0" xfId="0" applyNumberFormat="1" applyFont="1" applyFill="1"/>
    <xf numFmtId="0" fontId="60" fillId="2" borderId="0" xfId="0" applyFont="1" applyFill="1" applyAlignment="1">
      <alignment wrapText="1"/>
    </xf>
    <xf numFmtId="0" fontId="60" fillId="41" borderId="0" xfId="0" applyFont="1" applyFill="1" applyAlignment="1">
      <alignment wrapText="1"/>
    </xf>
    <xf numFmtId="9" fontId="60" fillId="0" borderId="0" xfId="8" applyFont="1"/>
    <xf numFmtId="0" fontId="38" fillId="0" borderId="0" xfId="1" applyFont="1" applyAlignment="1">
      <alignment horizontal="left" wrapText="1" indent="1"/>
    </xf>
    <xf numFmtId="169" fontId="0" fillId="0" borderId="10" xfId="0" applyNumberFormat="1" applyBorder="1"/>
    <xf numFmtId="1" fontId="0" fillId="2" borderId="0" xfId="0" applyNumberFormat="1" applyFill="1" applyAlignment="1">
      <alignment horizontal="right"/>
    </xf>
    <xf numFmtId="0" fontId="0" fillId="0" borderId="0" xfId="6" applyFont="1"/>
    <xf numFmtId="0" fontId="11" fillId="57" borderId="0" xfId="0" applyFont="1" applyFill="1"/>
    <xf numFmtId="0" fontId="11" fillId="58" borderId="0" xfId="0" applyFont="1" applyFill="1"/>
    <xf numFmtId="0" fontId="14" fillId="59" borderId="0" xfId="0" applyFont="1" applyFill="1" applyAlignment="1">
      <alignment horizontal="center"/>
    </xf>
    <xf numFmtId="164" fontId="40" fillId="0" borderId="0" xfId="0" applyNumberFormat="1" applyFont="1" applyAlignment="1">
      <alignment horizontal="right"/>
    </xf>
    <xf numFmtId="0" fontId="21" fillId="59" borderId="0" xfId="0" applyFont="1" applyFill="1"/>
    <xf numFmtId="10" fontId="0" fillId="37" borderId="0" xfId="0" applyNumberFormat="1" applyFill="1"/>
    <xf numFmtId="0" fontId="0" fillId="17" borderId="0" xfId="0" applyFill="1"/>
    <xf numFmtId="0" fontId="21" fillId="59" borderId="41" xfId="0" applyFont="1" applyFill="1" applyBorder="1"/>
    <xf numFmtId="10" fontId="21" fillId="37" borderId="41" xfId="0" applyNumberFormat="1" applyFont="1" applyFill="1" applyBorder="1"/>
    <xf numFmtId="0" fontId="15" fillId="5" borderId="41" xfId="0" applyFont="1" applyFill="1" applyBorder="1"/>
    <xf numFmtId="0" fontId="69" fillId="5" borderId="41" xfId="0" applyFont="1" applyFill="1" applyBorder="1"/>
    <xf numFmtId="0" fontId="68" fillId="0" borderId="41" xfId="0" applyFont="1" applyBorder="1"/>
    <xf numFmtId="0" fontId="112" fillId="59" borderId="41" xfId="0" applyFont="1" applyFill="1" applyBorder="1"/>
    <xf numFmtId="0" fontId="113" fillId="59" borderId="41" xfId="0" applyFont="1" applyFill="1" applyBorder="1"/>
    <xf numFmtId="14" fontId="68" fillId="0" borderId="41" xfId="0" applyNumberFormat="1" applyFont="1" applyBorder="1"/>
    <xf numFmtId="10" fontId="0" fillId="0" borderId="41" xfId="0" applyNumberFormat="1" applyBorder="1"/>
    <xf numFmtId="14" fontId="112" fillId="59" borderId="41" xfId="0" applyNumberFormat="1" applyFont="1" applyFill="1" applyBorder="1"/>
    <xf numFmtId="10" fontId="113" fillId="59" borderId="41" xfId="0" applyNumberFormat="1" applyFont="1" applyFill="1" applyBorder="1"/>
    <xf numFmtId="0" fontId="15" fillId="59" borderId="41" xfId="0" applyFont="1" applyFill="1" applyBorder="1"/>
    <xf numFmtId="0" fontId="0" fillId="59" borderId="41" xfId="0" applyFill="1" applyBorder="1"/>
    <xf numFmtId="1" fontId="19" fillId="0" borderId="0" xfId="0" applyNumberFormat="1" applyFont="1"/>
    <xf numFmtId="2" fontId="1" fillId="0" borderId="0" xfId="0" applyNumberFormat="1" applyFont="1" applyAlignment="1">
      <alignment horizontal="center" wrapText="1"/>
    </xf>
    <xf numFmtId="0" fontId="114" fillId="0" borderId="0" xfId="0" applyFont="1" applyAlignment="1">
      <alignment horizontal="center" wrapText="1"/>
    </xf>
    <xf numFmtId="0" fontId="115" fillId="0" borderId="0" xfId="6" applyFont="1" applyAlignment="1">
      <alignment horizontal="center" wrapText="1"/>
    </xf>
    <xf numFmtId="44" fontId="1" fillId="0" borderId="0" xfId="0" applyNumberFormat="1" applyFont="1" applyAlignment="1">
      <alignment horizontal="center" wrapText="1"/>
    </xf>
    <xf numFmtId="0" fontId="48" fillId="0" borderId="41" xfId="0" applyFont="1" applyBorder="1" applyAlignment="1">
      <alignment horizontal="center" wrapText="1"/>
    </xf>
    <xf numFmtId="0" fontId="12" fillId="0" borderId="41" xfId="6" applyBorder="1" applyAlignment="1">
      <alignment horizontal="center" wrapText="1"/>
    </xf>
    <xf numFmtId="0" fontId="48" fillId="60" borderId="41" xfId="0" applyFont="1" applyFill="1" applyBorder="1" applyAlignment="1">
      <alignment horizontal="center" wrapText="1"/>
    </xf>
    <xf numFmtId="0" fontId="48" fillId="60" borderId="41" xfId="0" applyFont="1" applyFill="1" applyBorder="1" applyAlignment="1">
      <alignment horizontal="center"/>
    </xf>
    <xf numFmtId="0" fontId="48" fillId="49" borderId="41" xfId="0" applyFont="1" applyFill="1" applyBorder="1" applyAlignment="1">
      <alignment horizontal="center" wrapText="1"/>
    </xf>
    <xf numFmtId="0" fontId="12" fillId="49" borderId="41" xfId="6" applyFill="1" applyBorder="1" applyAlignment="1">
      <alignment horizontal="center" wrapText="1"/>
    </xf>
    <xf numFmtId="10" fontId="0" fillId="0" borderId="0" xfId="0" applyNumberFormat="1" applyAlignment="1">
      <alignment horizontal="left"/>
    </xf>
    <xf numFmtId="0" fontId="0" fillId="0" borderId="82" xfId="0" applyBorder="1"/>
    <xf numFmtId="1" fontId="0" fillId="0" borderId="82" xfId="0" applyNumberFormat="1" applyBorder="1"/>
    <xf numFmtId="192" fontId="0" fillId="0" borderId="0" xfId="0" applyNumberFormat="1"/>
    <xf numFmtId="169" fontId="0" fillId="0" borderId="0" xfId="9" applyNumberFormat="1" applyFont="1"/>
    <xf numFmtId="9" fontId="11" fillId="0" borderId="0" xfId="0" applyNumberFormat="1" applyFont="1"/>
    <xf numFmtId="0" fontId="11" fillId="0" borderId="127" xfId="0" applyFont="1" applyBorder="1"/>
    <xf numFmtId="0" fontId="0" fillId="0" borderId="127" xfId="0" applyBorder="1"/>
    <xf numFmtId="164" fontId="11" fillId="17" borderId="0" xfId="0" applyNumberFormat="1" applyFont="1" applyFill="1"/>
    <xf numFmtId="164" fontId="0" fillId="17" borderId="0" xfId="0" applyNumberFormat="1" applyFill="1"/>
    <xf numFmtId="169" fontId="0" fillId="0" borderId="0" xfId="8" applyNumberFormat="1" applyFont="1"/>
    <xf numFmtId="169" fontId="0" fillId="0" borderId="127" xfId="0" applyNumberFormat="1" applyBorder="1"/>
    <xf numFmtId="10" fontId="10" fillId="0" borderId="0" xfId="0" applyNumberFormat="1" applyFont="1"/>
    <xf numFmtId="0" fontId="116" fillId="61" borderId="109" xfId="0" applyFont="1" applyFill="1" applyBorder="1" applyAlignment="1">
      <alignment horizontal="center"/>
    </xf>
    <xf numFmtId="0" fontId="116" fillId="62" borderId="109" xfId="0" applyFont="1" applyFill="1" applyBorder="1" applyAlignment="1">
      <alignment horizontal="center"/>
    </xf>
    <xf numFmtId="0" fontId="116" fillId="25" borderId="109" xfId="0" applyFont="1" applyFill="1" applyBorder="1" applyAlignment="1">
      <alignment horizontal="center"/>
    </xf>
    <xf numFmtId="164" fontId="38" fillId="5" borderId="0" xfId="1" applyNumberFormat="1" applyFont="1" applyFill="1"/>
    <xf numFmtId="0" fontId="9" fillId="5" borderId="0" xfId="1" applyFont="1" applyFill="1" applyAlignment="1">
      <alignment wrapText="1"/>
    </xf>
    <xf numFmtId="2" fontId="0" fillId="43" borderId="0" xfId="0" applyNumberFormat="1" applyFill="1"/>
    <xf numFmtId="189" fontId="0" fillId="43" borderId="0" xfId="0" applyNumberFormat="1" applyFill="1"/>
    <xf numFmtId="0" fontId="117" fillId="0" borderId="27" xfId="6" applyFont="1" applyBorder="1"/>
    <xf numFmtId="0" fontId="117" fillId="0" borderId="84" xfId="6" applyFont="1" applyBorder="1"/>
    <xf numFmtId="169" fontId="0" fillId="0" borderId="3" xfId="0" applyNumberFormat="1" applyBorder="1" applyAlignment="1">
      <alignment horizontal="right"/>
    </xf>
    <xf numFmtId="169" fontId="10" fillId="0" borderId="3" xfId="0" applyNumberFormat="1" applyFont="1" applyBorder="1"/>
    <xf numFmtId="169" fontId="0" fillId="0" borderId="0" xfId="0" applyNumberFormat="1" applyAlignment="1">
      <alignment horizontal="right"/>
    </xf>
    <xf numFmtId="169" fontId="26" fillId="0" borderId="0" xfId="0" applyNumberFormat="1" applyFont="1" applyAlignment="1">
      <alignment horizontal="right"/>
    </xf>
    <xf numFmtId="169" fontId="16" fillId="0" borderId="0" xfId="0" applyNumberFormat="1" applyFont="1" applyAlignment="1">
      <alignment horizontal="right"/>
    </xf>
    <xf numFmtId="169" fontId="0" fillId="0" borderId="10" xfId="0" applyNumberFormat="1" applyBorder="1" applyAlignment="1">
      <alignment horizontal="right"/>
    </xf>
    <xf numFmtId="170" fontId="10" fillId="0" borderId="10" xfId="0" applyNumberFormat="1" applyFont="1" applyBorder="1"/>
    <xf numFmtId="170" fontId="10" fillId="0" borderId="0" xfId="0" applyNumberFormat="1" applyFont="1"/>
    <xf numFmtId="170" fontId="10" fillId="0" borderId="127" xfId="0" applyNumberFormat="1" applyFont="1" applyBorder="1"/>
    <xf numFmtId="170" fontId="0" fillId="0" borderId="127" xfId="0" applyNumberFormat="1" applyBorder="1" applyAlignment="1">
      <alignment horizontal="right"/>
    </xf>
    <xf numFmtId="170" fontId="26" fillId="0" borderId="0" xfId="0" applyNumberFormat="1" applyFont="1" applyAlignment="1">
      <alignment horizontal="right"/>
    </xf>
    <xf numFmtId="9" fontId="23" fillId="0" borderId="0" xfId="8" applyFont="1" applyBorder="1"/>
    <xf numFmtId="169" fontId="11" fillId="37" borderId="0" xfId="0" applyNumberFormat="1" applyFont="1" applyFill="1"/>
    <xf numFmtId="169" fontId="11" fillId="17" borderId="0" xfId="0" applyNumberFormat="1" applyFont="1" applyFill="1"/>
    <xf numFmtId="169" fontId="0" fillId="37" borderId="0" xfId="0" applyNumberFormat="1" applyFill="1"/>
    <xf numFmtId="0" fontId="12" fillId="0" borderId="0" xfId="6" applyAlignment="1">
      <alignment horizontal="left"/>
    </xf>
    <xf numFmtId="170" fontId="40" fillId="0" borderId="0" xfId="0" applyNumberFormat="1" applyFont="1"/>
    <xf numFmtId="170" fontId="19" fillId="0" borderId="0" xfId="0" applyNumberFormat="1" applyFont="1"/>
    <xf numFmtId="170" fontId="0" fillId="0" borderId="3" xfId="9" applyNumberFormat="1" applyFont="1" applyBorder="1"/>
    <xf numFmtId="169" fontId="0" fillId="0" borderId="3" xfId="9" applyNumberFormat="1" applyFont="1" applyBorder="1"/>
    <xf numFmtId="170" fontId="40" fillId="0" borderId="0" xfId="9" applyNumberFormat="1" applyFont="1"/>
    <xf numFmtId="170" fontId="16" fillId="0" borderId="0" xfId="9" applyNumberFormat="1" applyFont="1"/>
    <xf numFmtId="0" fontId="10" fillId="0" borderId="35" xfId="0" applyFont="1" applyBorder="1" applyAlignment="1">
      <alignment vertical="center" wrapText="1"/>
    </xf>
    <xf numFmtId="0" fontId="10" fillId="0" borderId="34" xfId="0" applyFont="1" applyBorder="1" applyAlignment="1">
      <alignment vertical="center" wrapText="1"/>
    </xf>
    <xf numFmtId="170" fontId="0" fillId="0" borderId="12" xfId="0" applyNumberFormat="1" applyBorder="1"/>
    <xf numFmtId="0" fontId="9" fillId="0" borderId="0" xfId="0" applyFont="1"/>
    <xf numFmtId="0" fontId="0" fillId="0" borderId="0" xfId="0" applyAlignment="1">
      <alignment horizontal="center" vertical="center"/>
    </xf>
    <xf numFmtId="175" fontId="0" fillId="0" borderId="0" xfId="0" applyNumberFormat="1" applyAlignment="1">
      <alignment horizontal="center"/>
    </xf>
    <xf numFmtId="0" fontId="14" fillId="5" borderId="0" xfId="0" applyFont="1" applyFill="1" applyAlignment="1">
      <alignment horizontal="center" vertical="center"/>
    </xf>
    <xf numFmtId="0" fontId="14" fillId="5" borderId="42" xfId="0" applyFont="1" applyFill="1" applyBorder="1" applyAlignment="1">
      <alignment horizontal="center"/>
    </xf>
    <xf numFmtId="0" fontId="19" fillId="36" borderId="14" xfId="0" applyFont="1" applyFill="1" applyBorder="1" applyAlignment="1">
      <alignment horizontal="center"/>
    </xf>
    <xf numFmtId="0" fontId="9" fillId="5" borderId="128" xfId="0" applyFont="1" applyFill="1" applyBorder="1"/>
    <xf numFmtId="0" fontId="14" fillId="5" borderId="128" xfId="0" applyFont="1" applyFill="1" applyBorder="1" applyAlignment="1">
      <alignment horizontal="center"/>
    </xf>
    <xf numFmtId="186" fontId="10" fillId="0" borderId="0" xfId="9" applyNumberFormat="1" applyFont="1" applyFill="1" applyBorder="1"/>
    <xf numFmtId="164" fontId="0" fillId="0" borderId="0" xfId="7" applyNumberFormat="1" applyFont="1" applyFill="1" applyBorder="1"/>
    <xf numFmtId="9" fontId="0" fillId="0" borderId="0" xfId="8" applyFont="1" applyFill="1" applyBorder="1"/>
    <xf numFmtId="164" fontId="10" fillId="0" borderId="0" xfId="7" applyNumberFormat="1" applyFont="1" applyFill="1" applyBorder="1"/>
    <xf numFmtId="186" fontId="0" fillId="0" borderId="0" xfId="9" applyNumberFormat="1" applyFont="1" applyFill="1" applyBorder="1"/>
    <xf numFmtId="9" fontId="10" fillId="0" borderId="0" xfId="0" applyNumberFormat="1" applyFont="1"/>
    <xf numFmtId="9" fontId="10" fillId="0" borderId="0" xfId="8" applyFont="1" applyFill="1" applyBorder="1"/>
    <xf numFmtId="0" fontId="10" fillId="0" borderId="0" xfId="0" applyFont="1" applyAlignment="1">
      <alignment horizontal="left"/>
    </xf>
    <xf numFmtId="0" fontId="0" fillId="0" borderId="133" xfId="0" applyBorder="1" applyAlignment="1">
      <alignment horizontal="center"/>
    </xf>
    <xf numFmtId="0" fontId="0" fillId="0" borderId="134" xfId="0" applyBorder="1"/>
    <xf numFmtId="0" fontId="0" fillId="0" borderId="135" xfId="0" applyBorder="1"/>
    <xf numFmtId="0" fontId="10" fillId="0" borderId="136" xfId="0" applyFont="1" applyBorder="1" applyAlignment="1">
      <alignment horizontal="center"/>
    </xf>
    <xf numFmtId="166" fontId="10" fillId="0" borderId="137" xfId="0" applyNumberFormat="1" applyFont="1" applyBorder="1"/>
    <xf numFmtId="0" fontId="0" fillId="0" borderId="136" xfId="0" applyBorder="1" applyAlignment="1">
      <alignment horizontal="center"/>
    </xf>
    <xf numFmtId="1" fontId="0" fillId="0" borderId="137" xfId="0" applyNumberFormat="1" applyBorder="1"/>
    <xf numFmtId="164" fontId="0" fillId="0" borderId="137" xfId="7" applyNumberFormat="1" applyFont="1" applyFill="1" applyBorder="1"/>
    <xf numFmtId="164" fontId="10" fillId="0" borderId="137" xfId="7" applyNumberFormat="1" applyFont="1" applyFill="1" applyBorder="1"/>
    <xf numFmtId="186" fontId="0" fillId="0" borderId="137" xfId="9" applyNumberFormat="1" applyFont="1" applyFill="1" applyBorder="1"/>
    <xf numFmtId="186" fontId="10" fillId="0" borderId="137" xfId="9" applyNumberFormat="1" applyFont="1" applyFill="1" applyBorder="1"/>
    <xf numFmtId="0" fontId="0" fillId="0" borderId="137" xfId="0" applyBorder="1"/>
    <xf numFmtId="2" fontId="0" fillId="0" borderId="137" xfId="0" applyNumberFormat="1" applyBorder="1"/>
    <xf numFmtId="2" fontId="10" fillId="0" borderId="137" xfId="0" applyNumberFormat="1" applyFont="1" applyBorder="1"/>
    <xf numFmtId="177" fontId="0" fillId="0" borderId="137" xfId="9" applyNumberFormat="1" applyFont="1" applyFill="1" applyBorder="1"/>
    <xf numFmtId="10" fontId="10" fillId="0" borderId="137" xfId="8" applyNumberFormat="1" applyFont="1" applyFill="1" applyBorder="1"/>
    <xf numFmtId="0" fontId="10" fillId="0" borderId="138" xfId="0" applyFont="1" applyBorder="1" applyAlignment="1">
      <alignment horizontal="center"/>
    </xf>
    <xf numFmtId="0" fontId="10" fillId="0" borderId="139" xfId="0" applyFont="1" applyBorder="1"/>
    <xf numFmtId="10" fontId="10" fillId="0" borderId="140" xfId="8" applyNumberFormat="1" applyFont="1" applyFill="1" applyBorder="1"/>
    <xf numFmtId="167" fontId="0" fillId="0" borderId="0" xfId="8" applyNumberFormat="1" applyFont="1" applyFill="1" applyBorder="1"/>
    <xf numFmtId="164" fontId="0" fillId="0" borderId="137" xfId="8" applyNumberFormat="1" applyFont="1" applyFill="1" applyBorder="1"/>
    <xf numFmtId="186" fontId="10" fillId="0" borderId="137" xfId="9" applyNumberFormat="1" applyFont="1" applyBorder="1"/>
    <xf numFmtId="177" fontId="0" fillId="0" borderId="137" xfId="9" applyNumberFormat="1" applyFont="1" applyBorder="1"/>
    <xf numFmtId="9" fontId="10" fillId="0" borderId="137" xfId="8" applyFont="1" applyBorder="1"/>
    <xf numFmtId="9" fontId="10" fillId="0" borderId="140" xfId="8" applyFont="1" applyBorder="1"/>
    <xf numFmtId="9" fontId="0" fillId="0" borderId="137" xfId="8" applyFont="1" applyFill="1" applyBorder="1"/>
    <xf numFmtId="9" fontId="10" fillId="0" borderId="140" xfId="8" applyFont="1" applyFill="1" applyBorder="1"/>
    <xf numFmtId="9" fontId="10" fillId="0" borderId="137" xfId="8" applyFont="1" applyFill="1" applyBorder="1"/>
    <xf numFmtId="0" fontId="9" fillId="5" borderId="141" xfId="0" applyFont="1" applyFill="1" applyBorder="1" applyAlignment="1">
      <alignment horizontal="center"/>
    </xf>
    <xf numFmtId="0" fontId="9" fillId="5" borderId="0" xfId="6" applyFont="1" applyFill="1"/>
    <xf numFmtId="0" fontId="12" fillId="0" borderId="0" xfId="6" applyBorder="1"/>
    <xf numFmtId="0" fontId="10" fillId="0" borderId="142" xfId="0" applyFont="1" applyBorder="1" applyAlignment="1">
      <alignment horizontal="center"/>
    </xf>
    <xf numFmtId="0" fontId="0" fillId="57" borderId="143" xfId="0" applyFill="1" applyBorder="1"/>
    <xf numFmtId="0" fontId="0" fillId="58" borderId="144" xfId="0" applyFill="1" applyBorder="1"/>
    <xf numFmtId="0" fontId="0" fillId="5" borderId="0" xfId="0" applyFill="1" applyAlignment="1">
      <alignment horizontal="right"/>
    </xf>
    <xf numFmtId="0" fontId="12" fillId="0" borderId="0" xfId="6" applyAlignment="1">
      <alignment horizontal="center" vertical="top"/>
    </xf>
    <xf numFmtId="0" fontId="0" fillId="5" borderId="0" xfId="0" applyFill="1" applyAlignment="1">
      <alignment horizontal="center" vertical="top"/>
    </xf>
    <xf numFmtId="0" fontId="9" fillId="5" borderId="0" xfId="6" applyFont="1" applyFill="1" applyAlignment="1">
      <alignment horizontal="left" vertical="top"/>
    </xf>
    <xf numFmtId="0" fontId="118" fillId="5" borderId="11" xfId="0" applyFont="1" applyFill="1" applyBorder="1" applyAlignment="1">
      <alignment horizontal="center" vertical="center" wrapText="1"/>
    </xf>
    <xf numFmtId="0" fontId="79" fillId="5" borderId="11" xfId="0" applyFont="1" applyFill="1" applyBorder="1" applyAlignment="1">
      <alignment horizontal="left" wrapText="1"/>
    </xf>
    <xf numFmtId="164" fontId="0" fillId="0" borderId="0" xfId="7" applyNumberFormat="1" applyFont="1" applyFill="1" applyBorder="1" applyAlignment="1">
      <alignment horizontal="center" vertical="top"/>
    </xf>
    <xf numFmtId="0" fontId="12" fillId="0" borderId="0" xfId="6" applyAlignment="1">
      <alignment horizontal="left" vertical="top"/>
    </xf>
    <xf numFmtId="3" fontId="70" fillId="0" borderId="0" xfId="0" applyNumberFormat="1" applyFont="1"/>
    <xf numFmtId="0" fontId="0" fillId="5" borderId="0" xfId="0" applyFill="1" applyAlignment="1">
      <alignment horizontal="center"/>
    </xf>
    <xf numFmtId="0" fontId="9" fillId="5" borderId="80" xfId="0" applyFont="1" applyFill="1" applyBorder="1" applyAlignment="1">
      <alignment horizontal="center"/>
    </xf>
    <xf numFmtId="0" fontId="9" fillId="5" borderId="81" xfId="0" applyFont="1" applyFill="1" applyBorder="1" applyAlignment="1">
      <alignment horizontal="center"/>
    </xf>
    <xf numFmtId="10" fontId="0" fillId="45" borderId="81" xfId="0" applyNumberFormat="1" applyFill="1" applyBorder="1" applyAlignment="1">
      <alignment horizontal="center"/>
    </xf>
    <xf numFmtId="10" fontId="0" fillId="0" borderId="81" xfId="0" applyNumberFormat="1" applyBorder="1" applyAlignment="1">
      <alignment horizontal="center"/>
    </xf>
    <xf numFmtId="0" fontId="9" fillId="63" borderId="77" xfId="0" applyFont="1" applyFill="1" applyBorder="1"/>
    <xf numFmtId="0" fontId="9" fillId="63" borderId="78" xfId="0" applyFont="1" applyFill="1" applyBorder="1"/>
    <xf numFmtId="0" fontId="21" fillId="63" borderId="76" xfId="0" applyFont="1" applyFill="1" applyBorder="1"/>
    <xf numFmtId="0" fontId="72" fillId="5" borderId="0" xfId="0" applyFont="1" applyFill="1" applyAlignment="1">
      <alignment horizontal="center"/>
    </xf>
    <xf numFmtId="0" fontId="13" fillId="0" borderId="128" xfId="0" applyFont="1" applyBorder="1"/>
    <xf numFmtId="0" fontId="119" fillId="5" borderId="128" xfId="0" applyFont="1" applyFill="1" applyBorder="1" applyAlignment="1">
      <alignment horizontal="center"/>
    </xf>
    <xf numFmtId="0" fontId="12" fillId="0" borderId="0" xfId="6" applyAlignment="1">
      <alignment horizontal="left" wrapText="1"/>
    </xf>
    <xf numFmtId="0" fontId="20" fillId="5" borderId="0" xfId="0" applyFont="1" applyFill="1"/>
    <xf numFmtId="0" fontId="41" fillId="5" borderId="0" xfId="0" applyFont="1" applyFill="1"/>
    <xf numFmtId="0" fontId="0" fillId="36" borderId="10" xfId="0" applyFill="1" applyBorder="1" applyAlignment="1">
      <alignment horizontal="center"/>
    </xf>
    <xf numFmtId="169" fontId="0" fillId="36" borderId="10" xfId="0" applyNumberFormat="1" applyFill="1" applyBorder="1"/>
    <xf numFmtId="0" fontId="10" fillId="36" borderId="10" xfId="0" applyFont="1" applyFill="1" applyBorder="1"/>
    <xf numFmtId="0" fontId="9" fillId="5" borderId="0" xfId="0" applyFont="1" applyFill="1" applyAlignment="1">
      <alignment horizontal="left"/>
    </xf>
    <xf numFmtId="0" fontId="107" fillId="0" borderId="0" xfId="0" applyFont="1" applyAlignment="1">
      <alignment wrapText="1"/>
    </xf>
    <xf numFmtId="0" fontId="84" fillId="0" borderId="0" xfId="0" applyFont="1" applyAlignment="1">
      <alignment wrapText="1"/>
    </xf>
    <xf numFmtId="0" fontId="14" fillId="5" borderId="0" xfId="0" applyFont="1" applyFill="1" applyAlignment="1">
      <alignment horizontal="right"/>
    </xf>
    <xf numFmtId="0" fontId="9" fillId="0" borderId="0" xfId="0" applyFont="1" applyAlignment="1">
      <alignment horizontal="left"/>
    </xf>
    <xf numFmtId="37" fontId="0" fillId="0" borderId="0" xfId="11" applyNumberFormat="1" applyFont="1" applyBorder="1"/>
    <xf numFmtId="0" fontId="3" fillId="5" borderId="0" xfId="15" applyFill="1"/>
    <xf numFmtId="0" fontId="82" fillId="5" borderId="0" xfId="15" applyFont="1" applyFill="1" applyAlignment="1">
      <alignment horizontal="left"/>
    </xf>
    <xf numFmtId="0" fontId="38" fillId="0" borderId="0" xfId="6" applyFont="1" applyFill="1" applyAlignment="1"/>
    <xf numFmtId="10" fontId="11" fillId="0" borderId="145" xfId="0" applyNumberFormat="1" applyFont="1" applyBorder="1"/>
    <xf numFmtId="10" fontId="10" fillId="0" borderId="46" xfId="0" applyNumberFormat="1" applyFont="1" applyBorder="1"/>
    <xf numFmtId="0" fontId="38" fillId="36" borderId="0" xfId="6" applyFont="1" applyFill="1" applyAlignment="1">
      <alignment horizontal="center"/>
    </xf>
    <xf numFmtId="170" fontId="0" fillId="5" borderId="0" xfId="0" applyNumberFormat="1" applyFill="1"/>
    <xf numFmtId="10" fontId="0" fillId="5" borderId="0" xfId="0" applyNumberFormat="1" applyFill="1"/>
    <xf numFmtId="3" fontId="0" fillId="5" borderId="0" xfId="0" applyNumberFormat="1" applyFill="1"/>
    <xf numFmtId="169" fontId="0" fillId="5" borderId="0" xfId="0" applyNumberFormat="1" applyFill="1"/>
    <xf numFmtId="44" fontId="0" fillId="5" borderId="0" xfId="9" applyFont="1" applyFill="1"/>
    <xf numFmtId="10" fontId="0" fillId="5" borderId="0" xfId="8" applyNumberFormat="1" applyFont="1" applyFill="1"/>
    <xf numFmtId="0" fontId="0" fillId="25" borderId="0" xfId="0" applyFill="1"/>
    <xf numFmtId="0" fontId="0" fillId="0" borderId="133" xfId="0" applyBorder="1" applyAlignment="1">
      <alignment wrapText="1"/>
    </xf>
    <xf numFmtId="0" fontId="0" fillId="0" borderId="134" xfId="0" applyBorder="1" applyAlignment="1">
      <alignment wrapText="1"/>
    </xf>
    <xf numFmtId="0" fontId="0" fillId="0" borderId="135" xfId="0" applyBorder="1" applyAlignment="1">
      <alignment wrapText="1"/>
    </xf>
    <xf numFmtId="0" fontId="0" fillId="0" borderId="136" xfId="0" applyBorder="1"/>
    <xf numFmtId="10" fontId="0" fillId="0" borderId="137" xfId="0" applyNumberFormat="1" applyBorder="1"/>
    <xf numFmtId="0" fontId="0" fillId="0" borderId="138" xfId="0" applyBorder="1"/>
    <xf numFmtId="10" fontId="0" fillId="0" borderId="139" xfId="0" applyNumberFormat="1" applyBorder="1"/>
    <xf numFmtId="10" fontId="0" fillId="0" borderId="140" xfId="0" applyNumberFormat="1" applyBorder="1"/>
    <xf numFmtId="0" fontId="0" fillId="0" borderId="146" xfId="0" applyBorder="1"/>
    <xf numFmtId="0" fontId="0" fillId="0" borderId="147" xfId="0" applyBorder="1"/>
    <xf numFmtId="0" fontId="0" fillId="0" borderId="148" xfId="0" applyBorder="1" applyAlignment="1">
      <alignment horizontal="left"/>
    </xf>
    <xf numFmtId="0" fontId="62" fillId="0" borderId="133" xfId="0" applyFont="1" applyBorder="1"/>
    <xf numFmtId="0" fontId="1" fillId="0" borderId="134" xfId="0" applyFont="1" applyBorder="1"/>
    <xf numFmtId="10" fontId="60" fillId="0" borderId="134" xfId="0" applyNumberFormat="1" applyFont="1" applyBorder="1"/>
    <xf numFmtId="10" fontId="108" fillId="0" borderId="134" xfId="0" applyNumberFormat="1" applyFont="1" applyBorder="1"/>
    <xf numFmtId="10" fontId="108" fillId="0" borderId="135" xfId="0" applyNumberFormat="1" applyFont="1" applyBorder="1"/>
    <xf numFmtId="0" fontId="62" fillId="0" borderId="136" xfId="0" applyFont="1" applyBorder="1"/>
    <xf numFmtId="177" fontId="60" fillId="0" borderId="0" xfId="0" applyNumberFormat="1" applyFont="1"/>
    <xf numFmtId="169" fontId="60" fillId="0" borderId="0" xfId="0" applyNumberFormat="1" applyFont="1"/>
    <xf numFmtId="170" fontId="60" fillId="0" borderId="137" xfId="0" applyNumberFormat="1" applyFont="1" applyBorder="1"/>
    <xf numFmtId="0" fontId="62" fillId="0" borderId="138" xfId="0" applyFont="1" applyBorder="1"/>
    <xf numFmtId="0" fontId="1" fillId="0" borderId="139" xfId="0" applyFont="1" applyBorder="1"/>
    <xf numFmtId="0" fontId="0" fillId="0" borderId="139" xfId="0" applyBorder="1"/>
    <xf numFmtId="0" fontId="60" fillId="0" borderId="140" xfId="0" applyFont="1" applyBorder="1" applyAlignment="1">
      <alignment horizontal="center" wrapText="1"/>
    </xf>
    <xf numFmtId="0" fontId="60" fillId="0" borderId="139" xfId="0" applyFont="1" applyBorder="1" applyAlignment="1">
      <alignment horizontal="center" wrapText="1"/>
    </xf>
    <xf numFmtId="0" fontId="60" fillId="0" borderId="139" xfId="0" applyFont="1" applyBorder="1" applyAlignment="1">
      <alignment horizontal="center"/>
    </xf>
    <xf numFmtId="0" fontId="19" fillId="4" borderId="0" xfId="0" applyFont="1" applyFill="1" applyAlignment="1">
      <alignment horizontal="center"/>
    </xf>
    <xf numFmtId="0" fontId="9" fillId="4" borderId="0" xfId="0" applyFont="1" applyFill="1" applyAlignment="1">
      <alignment horizontal="center"/>
    </xf>
    <xf numFmtId="0" fontId="0" fillId="36" borderId="0" xfId="0" applyFill="1"/>
    <xf numFmtId="0" fontId="105" fillId="36" borderId="9" xfId="0" applyFont="1" applyFill="1" applyBorder="1"/>
    <xf numFmtId="0" fontId="81" fillId="36" borderId="46" xfId="0" applyFont="1" applyFill="1" applyBorder="1"/>
    <xf numFmtId="0" fontId="11" fillId="36" borderId="46" xfId="0" applyFont="1" applyFill="1" applyBorder="1"/>
    <xf numFmtId="0" fontId="27" fillId="36" borderId="6" xfId="0" applyFont="1" applyFill="1" applyBorder="1"/>
    <xf numFmtId="0" fontId="27" fillId="36" borderId="32" xfId="0" applyFont="1" applyFill="1" applyBorder="1"/>
    <xf numFmtId="0" fontId="0" fillId="36" borderId="6" xfId="0" applyFill="1" applyBorder="1"/>
    <xf numFmtId="44" fontId="11" fillId="36" borderId="32" xfId="9" applyFont="1" applyFill="1" applyBorder="1"/>
    <xf numFmtId="0" fontId="11" fillId="36" borderId="6" xfId="0" applyFont="1" applyFill="1" applyBorder="1"/>
    <xf numFmtId="0" fontId="11" fillId="36" borderId="32" xfId="0" applyFont="1" applyFill="1" applyBorder="1"/>
    <xf numFmtId="0" fontId="11" fillId="36" borderId="50" xfId="0" applyFont="1" applyFill="1" applyBorder="1"/>
    <xf numFmtId="0" fontId="11" fillId="36" borderId="49" xfId="0" applyFont="1" applyFill="1" applyBorder="1"/>
    <xf numFmtId="10" fontId="11" fillId="36" borderId="32" xfId="0" applyNumberFormat="1" applyFont="1" applyFill="1" applyBorder="1"/>
    <xf numFmtId="0" fontId="11" fillId="36" borderId="7" xfId="0" applyFont="1" applyFill="1" applyBorder="1"/>
    <xf numFmtId="0" fontId="11" fillId="36" borderId="48" xfId="0" applyFont="1" applyFill="1" applyBorder="1"/>
    <xf numFmtId="0" fontId="11" fillId="36" borderId="8" xfId="0" applyFont="1" applyFill="1" applyBorder="1"/>
    <xf numFmtId="10" fontId="0" fillId="36" borderId="31" xfId="0" applyNumberFormat="1" applyFill="1" applyBorder="1"/>
    <xf numFmtId="10" fontId="0" fillId="36" borderId="0" xfId="10" applyNumberFormat="1" applyFont="1" applyFill="1"/>
    <xf numFmtId="0" fontId="11" fillId="56" borderId="6" xfId="0" applyFont="1" applyFill="1" applyBorder="1"/>
    <xf numFmtId="10" fontId="11" fillId="56" borderId="0" xfId="0" applyNumberFormat="1" applyFont="1" applyFill="1"/>
    <xf numFmtId="0" fontId="106" fillId="36" borderId="40" xfId="0" applyFont="1" applyFill="1" applyBorder="1"/>
    <xf numFmtId="0" fontId="60" fillId="36" borderId="58" xfId="0" applyFont="1" applyFill="1" applyBorder="1"/>
    <xf numFmtId="0" fontId="60" fillId="36" borderId="57" xfId="0" applyFont="1" applyFill="1" applyBorder="1"/>
    <xf numFmtId="0" fontId="60" fillId="36" borderId="56" xfId="0" applyFont="1" applyFill="1" applyBorder="1"/>
    <xf numFmtId="0" fontId="60" fillId="36" borderId="55" xfId="0" applyFont="1" applyFill="1" applyBorder="1"/>
    <xf numFmtId="0" fontId="60" fillId="36" borderId="54" xfId="0" applyFont="1" applyFill="1" applyBorder="1"/>
    <xf numFmtId="0" fontId="0" fillId="36" borderId="57" xfId="0" applyFill="1" applyBorder="1"/>
    <xf numFmtId="0" fontId="0" fillId="36" borderId="56" xfId="0" applyFill="1" applyBorder="1"/>
    <xf numFmtId="0" fontId="0" fillId="36" borderId="55" xfId="0" applyFill="1" applyBorder="1"/>
    <xf numFmtId="0" fontId="0" fillId="36" borderId="54" xfId="0" applyFill="1" applyBorder="1"/>
    <xf numFmtId="0" fontId="31" fillId="36" borderId="53" xfId="0" applyFont="1" applyFill="1" applyBorder="1"/>
    <xf numFmtId="0" fontId="27" fillId="36" borderId="33" xfId="0" applyFont="1" applyFill="1" applyBorder="1"/>
    <xf numFmtId="0" fontId="27" fillId="36" borderId="4" xfId="0" applyFont="1" applyFill="1" applyBorder="1"/>
    <xf numFmtId="0" fontId="0" fillId="36" borderId="33" xfId="0" applyFill="1" applyBorder="1"/>
    <xf numFmtId="0" fontId="0" fillId="36" borderId="52" xfId="0" applyFill="1" applyBorder="1"/>
    <xf numFmtId="0" fontId="11" fillId="36" borderId="38" xfId="0" applyFont="1" applyFill="1" applyBorder="1"/>
    <xf numFmtId="3" fontId="0" fillId="36" borderId="32" xfId="0" applyNumberFormat="1" applyFill="1" applyBorder="1"/>
    <xf numFmtId="0" fontId="0" fillId="36" borderId="32" xfId="0" applyFill="1" applyBorder="1"/>
    <xf numFmtId="6" fontId="0" fillId="36" borderId="26" xfId="0" applyNumberFormat="1" applyFill="1" applyBorder="1"/>
    <xf numFmtId="0" fontId="11" fillId="36" borderId="39" xfId="0" applyFont="1" applyFill="1" applyBorder="1"/>
    <xf numFmtId="9" fontId="0" fillId="36" borderId="48" xfId="10" applyFont="1" applyFill="1" applyBorder="1"/>
    <xf numFmtId="0" fontId="0" fillId="36" borderId="7" xfId="0" applyFill="1" applyBorder="1"/>
    <xf numFmtId="6" fontId="0" fillId="36" borderId="48" xfId="9" applyNumberFormat="1" applyFont="1" applyFill="1" applyBorder="1"/>
    <xf numFmtId="10" fontId="0" fillId="36" borderId="26" xfId="0" applyNumberFormat="1" applyFill="1" applyBorder="1"/>
    <xf numFmtId="164" fontId="0" fillId="36" borderId="32" xfId="11" applyNumberFormat="1" applyFont="1" applyFill="1" applyBorder="1"/>
    <xf numFmtId="177" fontId="0" fillId="36" borderId="32" xfId="9" applyNumberFormat="1" applyFont="1" applyFill="1" applyBorder="1"/>
    <xf numFmtId="164" fontId="0" fillId="36" borderId="26" xfId="0" applyNumberFormat="1" applyFill="1" applyBorder="1"/>
    <xf numFmtId="6" fontId="0" fillId="36" borderId="48" xfId="0" applyNumberFormat="1" applyFill="1" applyBorder="1"/>
    <xf numFmtId="0" fontId="0" fillId="36" borderId="23" xfId="0" applyFill="1" applyBorder="1"/>
    <xf numFmtId="44" fontId="0" fillId="36" borderId="26" xfId="9" applyFont="1" applyFill="1" applyBorder="1"/>
    <xf numFmtId="10" fontId="0" fillId="36" borderId="32" xfId="10" applyNumberFormat="1" applyFont="1" applyFill="1" applyBorder="1"/>
    <xf numFmtId="0" fontId="0" fillId="36" borderId="26" xfId="0" applyFill="1" applyBorder="1"/>
    <xf numFmtId="0" fontId="0" fillId="36" borderId="48" xfId="0" applyFill="1" applyBorder="1"/>
    <xf numFmtId="164" fontId="0" fillId="36" borderId="32" xfId="0" applyNumberFormat="1" applyFill="1" applyBorder="1"/>
    <xf numFmtId="0" fontId="11" fillId="36" borderId="37" xfId="0" applyFont="1" applyFill="1" applyBorder="1"/>
    <xf numFmtId="10" fontId="0" fillId="36" borderId="31" xfId="10" applyNumberFormat="1" applyFont="1" applyFill="1" applyBorder="1"/>
    <xf numFmtId="0" fontId="0" fillId="36" borderId="8" xfId="0" applyFill="1" applyBorder="1"/>
    <xf numFmtId="0" fontId="0" fillId="36" borderId="31" xfId="0" applyFill="1" applyBorder="1"/>
    <xf numFmtId="0" fontId="0" fillId="36" borderId="36" xfId="0" applyFill="1" applyBorder="1"/>
    <xf numFmtId="10" fontId="0" fillId="36" borderId="1" xfId="10" applyNumberFormat="1" applyFont="1" applyFill="1" applyBorder="1"/>
    <xf numFmtId="0" fontId="0" fillId="36" borderId="1" xfId="0" applyFill="1" applyBorder="1"/>
    <xf numFmtId="0" fontId="105" fillId="36" borderId="4" xfId="0" applyFont="1" applyFill="1" applyBorder="1"/>
    <xf numFmtId="0" fontId="0" fillId="36" borderId="5" xfId="0" applyFill="1" applyBorder="1"/>
    <xf numFmtId="0" fontId="27" fillId="36" borderId="9" xfId="0" applyFont="1" applyFill="1" applyBorder="1"/>
    <xf numFmtId="0" fontId="27" fillId="36" borderId="46" xfId="0" applyFont="1" applyFill="1" applyBorder="1"/>
    <xf numFmtId="0" fontId="27" fillId="36" borderId="3" xfId="0" applyFont="1" applyFill="1" applyBorder="1"/>
    <xf numFmtId="0" fontId="0" fillId="36" borderId="46" xfId="0" applyFill="1" applyBorder="1"/>
    <xf numFmtId="9" fontId="0" fillId="36" borderId="32" xfId="0" applyNumberFormat="1" applyFill="1" applyBorder="1"/>
    <xf numFmtId="9" fontId="0" fillId="36" borderId="32" xfId="9" applyNumberFormat="1" applyFont="1" applyFill="1" applyBorder="1"/>
    <xf numFmtId="9" fontId="0" fillId="36" borderId="31" xfId="0" applyNumberFormat="1" applyFill="1" applyBorder="1"/>
    <xf numFmtId="0" fontId="0" fillId="36" borderId="2" xfId="0" applyFill="1" applyBorder="1"/>
    <xf numFmtId="0" fontId="106" fillId="36" borderId="4" xfId="0" applyFont="1" applyFill="1" applyBorder="1"/>
    <xf numFmtId="0" fontId="81" fillId="36" borderId="5" xfId="0" applyFont="1" applyFill="1" applyBorder="1"/>
    <xf numFmtId="0" fontId="31" fillId="36" borderId="6" xfId="0" applyFont="1" applyFill="1" applyBorder="1"/>
    <xf numFmtId="44" fontId="11" fillId="36" borderId="0" xfId="9" applyFont="1" applyFill="1" applyBorder="1"/>
    <xf numFmtId="0" fontId="11" fillId="36" borderId="0" xfId="0" applyFont="1" applyFill="1"/>
    <xf numFmtId="0" fontId="11" fillId="36" borderId="51" xfId="0" applyFont="1" applyFill="1" applyBorder="1"/>
    <xf numFmtId="10" fontId="11" fillId="36" borderId="0" xfId="0" applyNumberFormat="1" applyFont="1" applyFill="1"/>
    <xf numFmtId="0" fontId="11" fillId="36" borderId="1" xfId="0" applyFont="1" applyFill="1" applyBorder="1"/>
    <xf numFmtId="10" fontId="11" fillId="36" borderId="2" xfId="0" applyNumberFormat="1" applyFont="1" applyFill="1" applyBorder="1"/>
    <xf numFmtId="0" fontId="81" fillId="36" borderId="33" xfId="0" applyFont="1" applyFill="1" applyBorder="1"/>
    <xf numFmtId="0" fontId="60" fillId="36" borderId="33" xfId="0" applyFont="1" applyFill="1" applyBorder="1"/>
    <xf numFmtId="0" fontId="106" fillId="56" borderId="4" xfId="0" applyFont="1" applyFill="1" applyBorder="1"/>
    <xf numFmtId="0" fontId="11" fillId="56" borderId="33" xfId="0" applyFont="1" applyFill="1" applyBorder="1"/>
    <xf numFmtId="0" fontId="31" fillId="56" borderId="6" xfId="0" applyFont="1" applyFill="1" applyBorder="1"/>
    <xf numFmtId="0" fontId="31" fillId="56" borderId="32" xfId="0" applyFont="1" applyFill="1" applyBorder="1"/>
    <xf numFmtId="1" fontId="0" fillId="36" borderId="32" xfId="10" applyNumberFormat="1" applyFont="1" applyFill="1" applyBorder="1"/>
    <xf numFmtId="1" fontId="11" fillId="56" borderId="32" xfId="0" applyNumberFormat="1" applyFont="1" applyFill="1" applyBorder="1"/>
    <xf numFmtId="0" fontId="11" fillId="56" borderId="32" xfId="0" applyFont="1" applyFill="1" applyBorder="1"/>
    <xf numFmtId="44" fontId="0" fillId="36" borderId="0" xfId="9" applyFont="1" applyFill="1"/>
    <xf numFmtId="44" fontId="11" fillId="36" borderId="0" xfId="9" applyFont="1" applyFill="1"/>
    <xf numFmtId="0" fontId="11" fillId="56" borderId="0" xfId="0" applyFont="1" applyFill="1"/>
    <xf numFmtId="44" fontId="11" fillId="56" borderId="0" xfId="0" applyNumberFormat="1" applyFont="1" applyFill="1"/>
    <xf numFmtId="0" fontId="11" fillId="56" borderId="66" xfId="0" applyFont="1" applyFill="1" applyBorder="1"/>
    <xf numFmtId="0" fontId="11" fillId="56" borderId="67" xfId="0" applyFont="1" applyFill="1" applyBorder="1"/>
    <xf numFmtId="44" fontId="0" fillId="36" borderId="32" xfId="0" applyNumberFormat="1" applyFill="1" applyBorder="1"/>
    <xf numFmtId="44" fontId="11" fillId="56" borderId="32" xfId="0" applyNumberFormat="1" applyFont="1" applyFill="1" applyBorder="1"/>
    <xf numFmtId="0" fontId="31" fillId="56" borderId="4" xfId="0" applyFont="1" applyFill="1" applyBorder="1"/>
    <xf numFmtId="0" fontId="11" fillId="56" borderId="5" xfId="0" applyFont="1" applyFill="1" applyBorder="1"/>
    <xf numFmtId="10" fontId="11" fillId="56" borderId="32" xfId="0" applyNumberFormat="1" applyFont="1" applyFill="1" applyBorder="1"/>
    <xf numFmtId="0" fontId="11" fillId="56" borderId="7" xfId="0" applyFont="1" applyFill="1" applyBorder="1"/>
    <xf numFmtId="0" fontId="11" fillId="56" borderId="48" xfId="0" applyFont="1" applyFill="1" applyBorder="1"/>
    <xf numFmtId="0" fontId="11" fillId="56" borderId="8" xfId="0" applyFont="1" applyFill="1" applyBorder="1"/>
    <xf numFmtId="10" fontId="11" fillId="56" borderId="31" xfId="0" applyNumberFormat="1" applyFont="1" applyFill="1" applyBorder="1"/>
    <xf numFmtId="0" fontId="0" fillId="36" borderId="47" xfId="0" applyFill="1" applyBorder="1"/>
    <xf numFmtId="0" fontId="27" fillId="36" borderId="0" xfId="0" applyFont="1" applyFill="1"/>
    <xf numFmtId="0" fontId="0" fillId="36" borderId="45" xfId="0" applyFill="1" applyBorder="1"/>
    <xf numFmtId="9" fontId="0" fillId="36" borderId="45" xfId="0" applyNumberFormat="1" applyFill="1" applyBorder="1"/>
    <xf numFmtId="9" fontId="0" fillId="36" borderId="45" xfId="9" applyNumberFormat="1" applyFont="1" applyFill="1" applyBorder="1"/>
    <xf numFmtId="44" fontId="0" fillId="36" borderId="0" xfId="0" applyNumberFormat="1" applyFill="1"/>
    <xf numFmtId="44" fontId="0" fillId="36" borderId="43" xfId="0" applyNumberFormat="1" applyFill="1" applyBorder="1"/>
    <xf numFmtId="9" fontId="0" fillId="36" borderId="44" xfId="0" applyNumberFormat="1" applyFill="1" applyBorder="1"/>
    <xf numFmtId="0" fontId="27" fillId="36" borderId="0" xfId="0" applyFont="1" applyFill="1" applyAlignment="1">
      <alignment horizontal="right"/>
    </xf>
    <xf numFmtId="0" fontId="0" fillId="36" borderId="4" xfId="0" applyFill="1" applyBorder="1" applyAlignment="1">
      <alignment horizontal="left" indent="1"/>
    </xf>
    <xf numFmtId="0" fontId="0" fillId="36" borderId="109" xfId="0" applyFill="1" applyBorder="1"/>
    <xf numFmtId="0" fontId="0" fillId="36" borderId="6" xfId="0" applyFill="1" applyBorder="1" applyAlignment="1">
      <alignment horizontal="left" indent="1"/>
    </xf>
    <xf numFmtId="9" fontId="0" fillId="36" borderId="0" xfId="0" applyNumberFormat="1" applyFill="1"/>
    <xf numFmtId="10" fontId="0" fillId="36" borderId="0" xfId="10" applyNumberFormat="1" applyFont="1" applyFill="1" applyBorder="1"/>
    <xf numFmtId="10" fontId="0" fillId="36" borderId="27" xfId="10" applyNumberFormat="1" applyFont="1" applyFill="1" applyBorder="1"/>
    <xf numFmtId="0" fontId="0" fillId="36" borderId="8" xfId="0" applyFill="1" applyBorder="1" applyAlignment="1">
      <alignment horizontal="left" indent="1"/>
    </xf>
    <xf numFmtId="44" fontId="0" fillId="36" borderId="2" xfId="0" applyNumberFormat="1" applyFill="1" applyBorder="1"/>
    <xf numFmtId="9" fontId="0" fillId="36" borderId="2" xfId="0" applyNumberFormat="1" applyFill="1" applyBorder="1"/>
    <xf numFmtId="10" fontId="0" fillId="36" borderId="2" xfId="10" applyNumberFormat="1" applyFont="1" applyFill="1" applyBorder="1"/>
    <xf numFmtId="10" fontId="0" fillId="36" borderId="84" xfId="10" applyNumberFormat="1" applyFont="1" applyFill="1" applyBorder="1"/>
    <xf numFmtId="0" fontId="11" fillId="4" borderId="0" xfId="0" applyFont="1" applyFill="1" applyAlignment="1">
      <alignment horizontal="center"/>
    </xf>
    <xf numFmtId="0" fontId="9" fillId="4" borderId="0" xfId="0" applyFont="1" applyFill="1" applyAlignment="1">
      <alignment horizontal="left"/>
    </xf>
    <xf numFmtId="0" fontId="30" fillId="36" borderId="4" xfId="0" applyFont="1" applyFill="1" applyBorder="1"/>
    <xf numFmtId="0" fontId="10" fillId="36" borderId="3" xfId="0" applyFont="1" applyFill="1" applyBorder="1"/>
    <xf numFmtId="0" fontId="19" fillId="36" borderId="3" xfId="0" applyFont="1" applyFill="1" applyBorder="1"/>
    <xf numFmtId="0" fontId="19" fillId="36" borderId="46" xfId="0" applyFont="1" applyFill="1" applyBorder="1"/>
    <xf numFmtId="0" fontId="19" fillId="36" borderId="0" xfId="0" applyFont="1" applyFill="1"/>
    <xf numFmtId="9" fontId="11" fillId="36" borderId="0" xfId="0" applyNumberFormat="1" applyFont="1" applyFill="1"/>
    <xf numFmtId="3" fontId="11" fillId="36" borderId="32" xfId="0" applyNumberFormat="1" applyFont="1" applyFill="1" applyBorder="1"/>
    <xf numFmtId="0" fontId="19" fillId="36" borderId="6" xfId="0" applyFont="1" applyFill="1" applyBorder="1"/>
    <xf numFmtId="0" fontId="30" fillId="36" borderId="8" xfId="0" applyFont="1" applyFill="1" applyBorder="1"/>
    <xf numFmtId="0" fontId="19" fillId="36" borderId="2" xfId="0" applyFont="1" applyFill="1" applyBorder="1"/>
    <xf numFmtId="3" fontId="11" fillId="36" borderId="31" xfId="0" applyNumberFormat="1" applyFont="1" applyFill="1" applyBorder="1"/>
    <xf numFmtId="0" fontId="19" fillId="36" borderId="5" xfId="0" applyFont="1" applyFill="1" applyBorder="1"/>
    <xf numFmtId="0" fontId="11" fillId="36" borderId="5" xfId="0" applyFont="1" applyFill="1" applyBorder="1"/>
    <xf numFmtId="0" fontId="12" fillId="36" borderId="33" xfId="6" applyFill="1" applyBorder="1"/>
    <xf numFmtId="0" fontId="12" fillId="36" borderId="32" xfId="6" applyFill="1" applyBorder="1"/>
    <xf numFmtId="0" fontId="19" fillId="36" borderId="4" xfId="0" applyFont="1" applyFill="1" applyBorder="1"/>
    <xf numFmtId="9" fontId="11" fillId="36" borderId="5" xfId="0" applyNumberFormat="1" applyFont="1" applyFill="1" applyBorder="1"/>
    <xf numFmtId="169" fontId="37" fillId="36" borderId="33" xfId="0" applyNumberFormat="1" applyFont="1" applyFill="1" applyBorder="1"/>
    <xf numFmtId="169" fontId="37" fillId="36" borderId="32" xfId="0" applyNumberFormat="1" applyFont="1" applyFill="1" applyBorder="1"/>
    <xf numFmtId="169" fontId="37" fillId="36" borderId="31" xfId="0" applyNumberFormat="1" applyFont="1" applyFill="1" applyBorder="1"/>
    <xf numFmtId="0" fontId="19" fillId="36" borderId="8" xfId="0" applyFont="1" applyFill="1" applyBorder="1"/>
    <xf numFmtId="9" fontId="11" fillId="36" borderId="2" xfId="0" applyNumberFormat="1" applyFont="1" applyFill="1" applyBorder="1"/>
    <xf numFmtId="169" fontId="12" fillId="36" borderId="31" xfId="6" applyNumberFormat="1" applyFill="1" applyBorder="1"/>
    <xf numFmtId="0" fontId="0" fillId="36" borderId="4" xfId="0" applyFill="1" applyBorder="1"/>
    <xf numFmtId="170" fontId="11" fillId="36" borderId="32" xfId="0" applyNumberFormat="1" applyFont="1" applyFill="1" applyBorder="1"/>
    <xf numFmtId="0" fontId="11" fillId="36" borderId="6" xfId="0" applyFont="1" applyFill="1" applyBorder="1" applyAlignment="1">
      <alignment horizontal="left" indent="1" readingOrder="1"/>
    </xf>
    <xf numFmtId="170" fontId="11" fillId="36" borderId="31" xfId="0" applyNumberFormat="1" applyFont="1" applyFill="1" applyBorder="1"/>
    <xf numFmtId="6" fontId="0" fillId="36" borderId="33" xfId="0" applyNumberFormat="1" applyFill="1" applyBorder="1"/>
    <xf numFmtId="0" fontId="19" fillId="36" borderId="6" xfId="0" applyFont="1" applyFill="1" applyBorder="1" applyAlignment="1">
      <alignment horizontal="left" indent="1"/>
    </xf>
    <xf numFmtId="6" fontId="0" fillId="36" borderId="32" xfId="0" applyNumberFormat="1" applyFill="1" applyBorder="1"/>
    <xf numFmtId="0" fontId="19" fillId="36" borderId="6" xfId="0" applyFont="1" applyFill="1" applyBorder="1" applyAlignment="1">
      <alignment horizontal="center"/>
    </xf>
    <xf numFmtId="6" fontId="0" fillId="36" borderId="31" xfId="0" applyNumberFormat="1" applyFill="1" applyBorder="1"/>
    <xf numFmtId="0" fontId="10" fillId="36" borderId="5" xfId="0" applyFont="1" applyFill="1" applyBorder="1"/>
    <xf numFmtId="0" fontId="10" fillId="36" borderId="33" xfId="0" applyFont="1" applyFill="1" applyBorder="1"/>
    <xf numFmtId="0" fontId="0" fillId="36" borderId="136" xfId="0" applyFill="1" applyBorder="1"/>
    <xf numFmtId="43" fontId="1" fillId="41" borderId="21" xfId="15" applyNumberFormat="1" applyFont="1" applyFill="1" applyBorder="1"/>
    <xf numFmtId="0" fontId="9" fillId="64" borderId="5" xfId="0" applyFont="1" applyFill="1" applyBorder="1" applyAlignment="1">
      <alignment wrapText="1"/>
    </xf>
    <xf numFmtId="0" fontId="9" fillId="65" borderId="0" xfId="0" applyFont="1" applyFill="1" applyAlignment="1">
      <alignment wrapText="1"/>
    </xf>
    <xf numFmtId="0" fontId="9" fillId="65" borderId="0" xfId="0" applyFont="1" applyFill="1" applyAlignment="1">
      <alignment horizontal="center" wrapText="1"/>
    </xf>
    <xf numFmtId="0" fontId="9" fillId="5" borderId="102" xfId="0" applyFont="1" applyFill="1" applyBorder="1" applyAlignment="1">
      <alignment horizontal="left"/>
    </xf>
    <xf numFmtId="0" fontId="9" fillId="5" borderId="102" xfId="0" applyFont="1" applyFill="1" applyBorder="1"/>
    <xf numFmtId="164" fontId="0" fillId="0" borderId="0" xfId="0" applyNumberFormat="1" applyAlignment="1">
      <alignment horizontal="left"/>
    </xf>
    <xf numFmtId="3" fontId="122" fillId="0" borderId="0" xfId="0" applyNumberFormat="1" applyFont="1"/>
    <xf numFmtId="0" fontId="116" fillId="48" borderId="109" xfId="0" applyFont="1" applyFill="1" applyBorder="1" applyAlignment="1">
      <alignment horizontal="center"/>
    </xf>
    <xf numFmtId="0" fontId="0" fillId="0" borderId="0" xfId="0" applyFill="1" applyBorder="1"/>
    <xf numFmtId="6" fontId="0" fillId="0" borderId="0" xfId="0" applyNumberFormat="1" applyFill="1" applyBorder="1"/>
    <xf numFmtId="0" fontId="21" fillId="0" borderId="0" xfId="0" applyFont="1" applyFill="1" applyBorder="1"/>
    <xf numFmtId="0" fontId="21" fillId="0" borderId="0" xfId="0" applyFont="1" applyFill="1" applyBorder="1" applyAlignment="1">
      <alignment horizontal="center"/>
    </xf>
    <xf numFmtId="0" fontId="9" fillId="0" borderId="0" xfId="0" applyFont="1" applyFill="1" applyBorder="1" applyAlignment="1">
      <alignment wrapText="1"/>
    </xf>
    <xf numFmtId="0" fontId="21" fillId="0" borderId="0" xfId="0" applyFont="1" applyFill="1" applyBorder="1" applyAlignment="1">
      <alignment wrapText="1"/>
    </xf>
    <xf numFmtId="44" fontId="21" fillId="0" borderId="0" xfId="9" applyFont="1" applyFill="1" applyBorder="1" applyAlignment="1">
      <alignment wrapText="1"/>
    </xf>
    <xf numFmtId="0" fontId="0" fillId="0" borderId="0" xfId="0" applyFill="1" applyBorder="1" applyAlignment="1">
      <alignment horizontal="left" wrapText="1"/>
    </xf>
    <xf numFmtId="6" fontId="0" fillId="0" borderId="0" xfId="0" applyNumberFormat="1" applyFill="1" applyBorder="1" applyAlignment="1">
      <alignment horizontal="center"/>
    </xf>
    <xf numFmtId="0" fontId="0" fillId="0" borderId="0" xfId="0" applyFill="1" applyBorder="1" applyAlignment="1">
      <alignment horizontal="center"/>
    </xf>
    <xf numFmtId="44" fontId="0" fillId="0" borderId="0" xfId="0" applyNumberFormat="1" applyFill="1" applyBorder="1" applyAlignment="1">
      <alignment horizontal="center"/>
    </xf>
    <xf numFmtId="44" fontId="0" fillId="0" borderId="0" xfId="0" applyNumberFormat="1" applyFill="1" applyBorder="1"/>
    <xf numFmtId="0" fontId="0" fillId="0" borderId="0" xfId="0" applyFill="1" applyBorder="1" applyAlignment="1">
      <alignment wrapText="1"/>
    </xf>
    <xf numFmtId="0" fontId="21" fillId="0" borderId="0" xfId="0" applyFont="1" applyFill="1" applyBorder="1" applyAlignment="1">
      <alignment horizontal="center" wrapText="1"/>
    </xf>
    <xf numFmtId="44" fontId="21" fillId="0" borderId="0" xfId="9" applyFont="1" applyFill="1" applyBorder="1" applyAlignment="1">
      <alignment horizontal="center"/>
    </xf>
    <xf numFmtId="44" fontId="21" fillId="0" borderId="0" xfId="9" applyFont="1" applyFill="1" applyBorder="1" applyAlignment="1">
      <alignment horizontal="center" wrapText="1"/>
    </xf>
    <xf numFmtId="0" fontId="0" fillId="0" borderId="0" xfId="0" applyFill="1" applyBorder="1" applyAlignment="1">
      <alignment horizontal="left" indent="1"/>
    </xf>
    <xf numFmtId="0" fontId="9" fillId="0" borderId="0" xfId="0" applyFont="1" applyFill="1" applyBorder="1" applyAlignment="1">
      <alignment horizontal="left" indent="1"/>
    </xf>
    <xf numFmtId="0" fontId="0" fillId="0" borderId="0" xfId="0" applyFill="1" applyBorder="1" applyAlignment="1">
      <alignment horizontal="left" wrapText="1" indent="1"/>
    </xf>
    <xf numFmtId="0" fontId="0" fillId="0" borderId="0" xfId="0" applyFill="1" applyBorder="1" applyAlignment="1">
      <alignment horizontal="right"/>
    </xf>
    <xf numFmtId="0" fontId="21" fillId="5" borderId="40" xfId="0" applyFont="1" applyFill="1" applyBorder="1"/>
    <xf numFmtId="0" fontId="21" fillId="5" borderId="69" xfId="0" applyFont="1" applyFill="1" applyBorder="1"/>
    <xf numFmtId="0" fontId="21" fillId="5" borderId="54" xfId="0" applyFont="1" applyFill="1" applyBorder="1"/>
    <xf numFmtId="0" fontId="9" fillId="5" borderId="9" xfId="0" applyFont="1" applyFill="1" applyBorder="1" applyAlignment="1">
      <alignment wrapText="1"/>
    </xf>
    <xf numFmtId="0" fontId="9" fillId="5" borderId="3" xfId="0" applyFont="1" applyFill="1" applyBorder="1" applyAlignment="1">
      <alignment wrapText="1"/>
    </xf>
    <xf numFmtId="0" fontId="9" fillId="5" borderId="46" xfId="0" applyFont="1" applyFill="1" applyBorder="1" applyAlignment="1">
      <alignment wrapText="1"/>
    </xf>
    <xf numFmtId="0" fontId="21" fillId="5" borderId="35" xfId="0" applyFont="1" applyFill="1" applyBorder="1"/>
    <xf numFmtId="0" fontId="21" fillId="5" borderId="34" xfId="0" applyFont="1" applyFill="1" applyBorder="1"/>
    <xf numFmtId="0" fontId="21" fillId="5" borderId="12" xfId="0" applyFont="1" applyFill="1" applyBorder="1"/>
    <xf numFmtId="0" fontId="65" fillId="0" borderId="35" xfId="0" applyFont="1" applyBorder="1" applyAlignment="1">
      <alignment wrapText="1"/>
    </xf>
    <xf numFmtId="0" fontId="65" fillId="0" borderId="34" xfId="0" applyFont="1" applyBorder="1" applyAlignment="1">
      <alignment wrapText="1"/>
    </xf>
    <xf numFmtId="0" fontId="65" fillId="0" borderId="12" xfId="0" applyFont="1" applyBorder="1" applyAlignment="1">
      <alignment wrapText="1"/>
    </xf>
    <xf numFmtId="0" fontId="65" fillId="40" borderId="85" xfId="0" applyFont="1" applyFill="1" applyBorder="1" applyAlignment="1">
      <alignment wrapText="1"/>
    </xf>
    <xf numFmtId="0" fontId="65" fillId="40" borderId="86" xfId="0" applyFont="1" applyFill="1" applyBorder="1" applyAlignment="1">
      <alignment wrapText="1"/>
    </xf>
    <xf numFmtId="0" fontId="65" fillId="40" borderId="87" xfId="0" applyFont="1" applyFill="1" applyBorder="1" applyAlignment="1">
      <alignment wrapText="1"/>
    </xf>
    <xf numFmtId="0" fontId="65" fillId="40" borderId="121" xfId="0" applyFont="1" applyFill="1" applyBorder="1" applyAlignment="1">
      <alignment wrapText="1"/>
    </xf>
    <xf numFmtId="0" fontId="66" fillId="0" borderId="35" xfId="0" applyFont="1" applyBorder="1" applyAlignment="1">
      <alignment wrapText="1"/>
    </xf>
    <xf numFmtId="0" fontId="66" fillId="0" borderId="34" xfId="0" applyFont="1" applyBorder="1" applyAlignment="1">
      <alignment wrapText="1"/>
    </xf>
    <xf numFmtId="0" fontId="66" fillId="0" borderId="34" xfId="0" applyFont="1" applyBorder="1"/>
    <xf numFmtId="9" fontId="66" fillId="0" borderId="26" xfId="0" applyNumberFormat="1" applyFont="1" applyBorder="1"/>
    <xf numFmtId="0" fontId="66" fillId="0" borderId="38" xfId="0" applyFont="1" applyBorder="1"/>
    <xf numFmtId="0" fontId="66" fillId="40" borderId="17" xfId="0" applyFont="1" applyFill="1" applyBorder="1"/>
    <xf numFmtId="0" fontId="66" fillId="40" borderId="26" xfId="0" applyFont="1" applyFill="1" applyBorder="1"/>
    <xf numFmtId="0" fontId="66" fillId="40" borderId="0" xfId="0" applyFont="1" applyFill="1"/>
    <xf numFmtId="0" fontId="66" fillId="40" borderId="13" xfId="0" applyFont="1" applyFill="1" applyBorder="1"/>
    <xf numFmtId="0" fontId="66" fillId="0" borderId="26" xfId="0" applyFont="1" applyBorder="1"/>
    <xf numFmtId="0" fontId="66" fillId="0" borderId="39" xfId="0" applyFont="1" applyBorder="1"/>
    <xf numFmtId="0" fontId="66" fillId="0" borderId="1" xfId="0" applyFont="1" applyBorder="1"/>
    <xf numFmtId="3" fontId="71" fillId="0" borderId="1" xfId="0" applyNumberFormat="1" applyFont="1" applyBorder="1"/>
    <xf numFmtId="9" fontId="66" fillId="0" borderId="1" xfId="0" applyNumberFormat="1" applyFont="1" applyBorder="1"/>
    <xf numFmtId="9" fontId="66" fillId="0" borderId="23" xfId="0" applyNumberFormat="1" applyFont="1" applyBorder="1"/>
    <xf numFmtId="0" fontId="66" fillId="40" borderId="90" xfId="0" applyFont="1" applyFill="1" applyBorder="1"/>
    <xf numFmtId="0" fontId="66" fillId="40" borderId="23" xfId="0" applyFont="1" applyFill="1" applyBorder="1"/>
    <xf numFmtId="0" fontId="65" fillId="0" borderId="85" xfId="0" applyFont="1" applyBorder="1"/>
    <xf numFmtId="0" fontId="65" fillId="0" borderId="121" xfId="0" applyFont="1" applyBorder="1"/>
    <xf numFmtId="0" fontId="65" fillId="0" borderId="26" xfId="0" applyFont="1" applyBorder="1"/>
    <xf numFmtId="0" fontId="65" fillId="40" borderId="17" xfId="0" applyFont="1" applyFill="1" applyBorder="1"/>
    <xf numFmtId="0" fontId="65" fillId="40" borderId="1" xfId="0" applyFont="1" applyFill="1" applyBorder="1" applyAlignment="1">
      <alignment wrapText="1"/>
    </xf>
    <xf numFmtId="0" fontId="65" fillId="40" borderId="96" xfId="0" applyFont="1" applyFill="1" applyBorder="1" applyAlignment="1">
      <alignment wrapText="1"/>
    </xf>
    <xf numFmtId="0" fontId="65" fillId="40" borderId="97" xfId="0" applyFont="1" applyFill="1" applyBorder="1" applyAlignment="1">
      <alignment wrapText="1"/>
    </xf>
    <xf numFmtId="0" fontId="66" fillId="0" borderId="12" xfId="0" applyFont="1" applyBorder="1"/>
    <xf numFmtId="9" fontId="66" fillId="0" borderId="13" xfId="0" applyNumberFormat="1" applyFont="1" applyBorder="1"/>
    <xf numFmtId="0" fontId="66" fillId="0" borderId="69" xfId="0" applyFont="1" applyBorder="1"/>
    <xf numFmtId="9" fontId="66" fillId="0" borderId="54" xfId="0" applyNumberFormat="1" applyFont="1" applyBorder="1"/>
    <xf numFmtId="0" fontId="66" fillId="40" borderId="88" xfId="0" applyFont="1" applyFill="1" applyBorder="1"/>
    <xf numFmtId="0" fontId="66" fillId="40" borderId="69" xfId="0" applyFont="1" applyFill="1" applyBorder="1"/>
    <xf numFmtId="0" fontId="66" fillId="40" borderId="38" xfId="0" applyFont="1" applyFill="1" applyBorder="1"/>
    <xf numFmtId="170" fontId="71" fillId="0" borderId="0" xfId="0" applyNumberFormat="1" applyFont="1"/>
    <xf numFmtId="3" fontId="66" fillId="0" borderId="1" xfId="0" applyNumberFormat="1" applyFont="1" applyBorder="1"/>
    <xf numFmtId="170" fontId="71" fillId="0" borderId="1" xfId="0" applyNumberFormat="1" applyFont="1" applyBorder="1"/>
    <xf numFmtId="9" fontId="66" fillId="0" borderId="20" xfId="0" applyNumberFormat="1" applyFont="1" applyBorder="1"/>
    <xf numFmtId="0" fontId="66" fillId="40" borderId="1" xfId="0" applyFont="1" applyFill="1" applyBorder="1"/>
    <xf numFmtId="0" fontId="66" fillId="0" borderId="17" xfId="0" applyFont="1" applyBorder="1"/>
    <xf numFmtId="0" fontId="65" fillId="0" borderId="39" xfId="0" applyFont="1" applyBorder="1"/>
    <xf numFmtId="0" fontId="65" fillId="0" borderId="23" xfId="0" applyFont="1" applyBorder="1"/>
    <xf numFmtId="0" fontId="65" fillId="0" borderId="1" xfId="0" applyFont="1" applyBorder="1"/>
    <xf numFmtId="0" fontId="65" fillId="0" borderId="123" xfId="0" applyFont="1" applyBorder="1"/>
    <xf numFmtId="0" fontId="65" fillId="0" borderId="42" xfId="0" applyFont="1" applyBorder="1" applyAlignment="1">
      <alignment wrapText="1"/>
    </xf>
    <xf numFmtId="0" fontId="65" fillId="40" borderId="122" xfId="0" applyFont="1" applyFill="1" applyBorder="1" applyAlignment="1">
      <alignment wrapText="1"/>
    </xf>
    <xf numFmtId="0" fontId="66" fillId="0" borderId="96" xfId="0" applyFont="1" applyBorder="1" applyAlignment="1">
      <alignment wrapText="1"/>
    </xf>
    <xf numFmtId="0" fontId="66" fillId="0" borderId="122" xfId="0" applyFont="1" applyBorder="1"/>
    <xf numFmtId="0" fontId="66" fillId="0" borderId="122" xfId="0" applyFont="1" applyBorder="1" applyAlignment="1">
      <alignment wrapText="1"/>
    </xf>
    <xf numFmtId="0" fontId="66" fillId="0" borderId="97" xfId="0" applyFont="1" applyBorder="1" applyAlignment="1">
      <alignment wrapText="1"/>
    </xf>
    <xf numFmtId="0" fontId="66" fillId="0" borderId="14" xfId="0" applyFont="1" applyBorder="1"/>
    <xf numFmtId="9" fontId="66" fillId="0" borderId="59" xfId="0" applyNumberFormat="1" applyFont="1" applyBorder="1"/>
    <xf numFmtId="0" fontId="71" fillId="0" borderId="19" xfId="0" applyFont="1" applyBorder="1"/>
    <xf numFmtId="0" fontId="66" fillId="40" borderId="19" xfId="0" applyFont="1" applyFill="1" applyBorder="1"/>
    <xf numFmtId="0" fontId="66" fillId="40" borderId="20" xfId="0" applyFont="1" applyFill="1" applyBorder="1"/>
    <xf numFmtId="0" fontId="65" fillId="40" borderId="39" xfId="0" applyFont="1" applyFill="1" applyBorder="1"/>
    <xf numFmtId="0" fontId="65" fillId="40" borderId="23" xfId="0" applyFont="1" applyFill="1" applyBorder="1"/>
    <xf numFmtId="0" fontId="65" fillId="0" borderId="99" xfId="0" applyFont="1" applyBorder="1"/>
    <xf numFmtId="0" fontId="65" fillId="0" borderId="10" xfId="0" applyFont="1" applyBorder="1" applyAlignment="1">
      <alignment wrapText="1"/>
    </xf>
    <xf numFmtId="0" fontId="65" fillId="0" borderId="61" xfId="0" applyFont="1" applyBorder="1" applyAlignment="1">
      <alignment wrapText="1"/>
    </xf>
    <xf numFmtId="0" fontId="65" fillId="0" borderId="62" xfId="0" applyFont="1" applyBorder="1" applyAlignment="1">
      <alignment wrapText="1"/>
    </xf>
    <xf numFmtId="0" fontId="66" fillId="0" borderId="61" xfId="0" applyFont="1" applyBorder="1"/>
    <xf numFmtId="9" fontId="66" fillId="0" borderId="62" xfId="0" applyNumberFormat="1" applyFont="1" applyBorder="1"/>
    <xf numFmtId="0" fontId="66" fillId="0" borderId="63" xfId="0" applyFont="1" applyBorder="1"/>
    <xf numFmtId="0" fontId="66" fillId="40" borderId="39" xfId="0" applyFont="1" applyFill="1" applyBorder="1"/>
    <xf numFmtId="0" fontId="66" fillId="0" borderId="18" xfId="0" applyFont="1" applyBorder="1"/>
    <xf numFmtId="0" fontId="65" fillId="0" borderId="124" xfId="0" applyFont="1" applyBorder="1"/>
    <xf numFmtId="0" fontId="65" fillId="0" borderId="125" xfId="0" applyFont="1" applyBorder="1" applyAlignment="1">
      <alignment wrapText="1"/>
    </xf>
    <xf numFmtId="0" fontId="65" fillId="0" borderId="126" xfId="0" applyFont="1" applyBorder="1" applyAlignment="1">
      <alignment wrapText="1"/>
    </xf>
    <xf numFmtId="0" fontId="65" fillId="0" borderId="91" xfId="0" applyFont="1" applyBorder="1" applyAlignment="1">
      <alignment wrapText="1"/>
    </xf>
    <xf numFmtId="0" fontId="66" fillId="0" borderId="123" xfId="0" applyFont="1" applyBorder="1"/>
    <xf numFmtId="9" fontId="66" fillId="0" borderId="42" xfId="0" applyNumberFormat="1" applyFont="1" applyBorder="1"/>
    <xf numFmtId="187" fontId="0" fillId="0" borderId="0" xfId="0" applyNumberFormat="1"/>
    <xf numFmtId="1" fontId="61" fillId="36" borderId="12" xfId="7" applyNumberFormat="1" applyFont="1" applyFill="1" applyBorder="1" applyAlignment="1">
      <alignment horizontal="center" wrapText="1"/>
    </xf>
    <xf numFmtId="0" fontId="19" fillId="0" borderId="0" xfId="0" applyFont="1" applyAlignment="1">
      <alignment horizontal="left"/>
    </xf>
    <xf numFmtId="0" fontId="38" fillId="0" borderId="0" xfId="1" applyFont="1" applyAlignment="1">
      <alignment horizontal="center" vertical="center" wrapText="1"/>
    </xf>
    <xf numFmtId="0" fontId="38" fillId="0" borderId="0" xfId="1" applyFont="1" applyAlignment="1">
      <alignment horizontal="center"/>
    </xf>
    <xf numFmtId="164" fontId="38" fillId="38" borderId="0" xfId="1" applyNumberFormat="1" applyFont="1" applyFill="1" applyAlignment="1">
      <alignment horizontal="center"/>
    </xf>
    <xf numFmtId="164" fontId="38" fillId="38" borderId="0" xfId="1" applyNumberFormat="1" applyFont="1" applyFill="1" applyAlignment="1">
      <alignment horizontal="center" wrapText="1"/>
    </xf>
    <xf numFmtId="0" fontId="9" fillId="5" borderId="0" xfId="1" applyFont="1" applyFill="1" applyAlignment="1">
      <alignment horizontal="center" wrapText="1"/>
    </xf>
    <xf numFmtId="0" fontId="9" fillId="5" borderId="0" xfId="1" applyFont="1" applyFill="1" applyAlignment="1">
      <alignment horizontal="center"/>
    </xf>
    <xf numFmtId="0" fontId="38" fillId="0" borderId="0" xfId="5" applyFont="1" applyAlignment="1">
      <alignment horizontal="center"/>
    </xf>
    <xf numFmtId="0" fontId="23" fillId="0" borderId="0" xfId="5" applyFont="1" applyAlignment="1">
      <alignment horizontal="center"/>
    </xf>
    <xf numFmtId="0" fontId="0" fillId="0" borderId="0" xfId="0" applyAlignment="1"/>
    <xf numFmtId="0" fontId="23" fillId="0" borderId="0" xfId="0" applyFont="1" applyAlignment="1"/>
    <xf numFmtId="0" fontId="75" fillId="5" borderId="0" xfId="0" applyFont="1" applyFill="1" applyAlignment="1">
      <alignment horizontal="center"/>
    </xf>
    <xf numFmtId="0" fontId="9" fillId="5" borderId="0" xfId="0" applyFont="1" applyFill="1" applyAlignment="1">
      <alignment horizontal="center"/>
    </xf>
    <xf numFmtId="0" fontId="11" fillId="0" borderId="10" xfId="0" applyFont="1" applyBorder="1" applyAlignment="1">
      <alignment horizontal="left"/>
    </xf>
    <xf numFmtId="0" fontId="11" fillId="0" borderId="0" xfId="0" applyFont="1" applyAlignment="1">
      <alignment horizontal="left"/>
    </xf>
    <xf numFmtId="0" fontId="31" fillId="0" borderId="0" xfId="0" applyFont="1" applyAlignment="1">
      <alignment horizontal="left"/>
    </xf>
    <xf numFmtId="0" fontId="10" fillId="5" borderId="0" xfId="0" applyFont="1" applyFill="1" applyAlignment="1">
      <alignment horizontal="left"/>
    </xf>
    <xf numFmtId="0" fontId="0" fillId="0" borderId="0" xfId="0" applyAlignment="1">
      <alignment horizontal="left"/>
    </xf>
    <xf numFmtId="0" fontId="12" fillId="0" borderId="0" xfId="6" applyAlignment="1">
      <alignment horizontal="left"/>
    </xf>
    <xf numFmtId="0" fontId="9" fillId="5" borderId="0" xfId="0" applyFont="1" applyFill="1" applyAlignment="1">
      <alignment horizontal="center" vertical="center"/>
    </xf>
    <xf numFmtId="0" fontId="9" fillId="5" borderId="129" xfId="0" applyFont="1" applyFill="1" applyBorder="1" applyAlignment="1">
      <alignment horizontal="center" vertical="center"/>
    </xf>
    <xf numFmtId="0" fontId="21" fillId="0" borderId="0" xfId="0" applyFont="1" applyAlignment="1">
      <alignment horizontal="center"/>
    </xf>
    <xf numFmtId="0" fontId="14" fillId="5" borderId="0" xfId="0" applyFont="1" applyFill="1" applyAlignment="1">
      <alignment horizontal="center"/>
    </xf>
    <xf numFmtId="0" fontId="9" fillId="5" borderId="0" xfId="0" applyFont="1" applyFill="1" applyAlignment="1">
      <alignment horizontal="left"/>
    </xf>
    <xf numFmtId="0" fontId="9" fillId="5" borderId="129" xfId="0" applyFont="1" applyFill="1" applyBorder="1" applyAlignment="1">
      <alignment horizontal="center"/>
    </xf>
    <xf numFmtId="0" fontId="21" fillId="5" borderId="0" xfId="0" applyFont="1" applyFill="1" applyAlignment="1">
      <alignment horizontal="center"/>
    </xf>
    <xf numFmtId="0" fontId="9" fillId="5" borderId="0" xfId="0" applyFont="1" applyFill="1" applyAlignment="1"/>
    <xf numFmtId="0" fontId="9" fillId="5" borderId="0" xfId="6" applyFont="1" applyFill="1" applyAlignment="1">
      <alignment horizontal="left"/>
    </xf>
    <xf numFmtId="0" fontId="15" fillId="5" borderId="0" xfId="0" applyFont="1" applyFill="1" applyAlignment="1">
      <alignment horizontal="center"/>
    </xf>
    <xf numFmtId="0" fontId="79" fillId="5" borderId="35" xfId="0" applyFont="1" applyFill="1" applyBorder="1" applyAlignment="1">
      <alignment horizontal="center" vertical="center"/>
    </xf>
    <xf numFmtId="0" fontId="79" fillId="5" borderId="12" xfId="0" applyFont="1" applyFill="1" applyBorder="1" applyAlignment="1">
      <alignment horizontal="center" vertical="center"/>
    </xf>
    <xf numFmtId="0" fontId="9" fillId="5" borderId="1" xfId="0" applyFont="1" applyFill="1" applyBorder="1" applyAlignment="1">
      <alignment horizontal="center"/>
    </xf>
    <xf numFmtId="0" fontId="119" fillId="5" borderId="1" xfId="0" applyFont="1" applyFill="1" applyBorder="1" applyAlignment="1">
      <alignment horizontal="center"/>
    </xf>
    <xf numFmtId="0" fontId="119" fillId="5" borderId="0" xfId="0" applyFont="1" applyFill="1" applyAlignment="1">
      <alignment horizontal="center"/>
    </xf>
    <xf numFmtId="0" fontId="119" fillId="5" borderId="129" xfId="0" applyFont="1" applyFill="1" applyBorder="1" applyAlignment="1">
      <alignment horizontal="center"/>
    </xf>
    <xf numFmtId="0" fontId="0" fillId="0" borderId="0" xfId="0" applyAlignment="1">
      <alignment horizontal="center"/>
    </xf>
    <xf numFmtId="0" fontId="9" fillId="5" borderId="0" xfId="6" applyFont="1" applyFill="1" applyAlignment="1"/>
    <xf numFmtId="0" fontId="82" fillId="5" borderId="0" xfId="0" applyFont="1" applyFill="1" applyAlignment="1">
      <alignment horizontal="left" wrapText="1"/>
    </xf>
    <xf numFmtId="0" fontId="61" fillId="36" borderId="85" xfId="0" applyFont="1" applyFill="1" applyBorder="1" applyAlignment="1">
      <alignment horizontal="right" wrapText="1"/>
    </xf>
    <xf numFmtId="0" fontId="61" fillId="36" borderId="87" xfId="0" applyFont="1" applyFill="1" applyBorder="1" applyAlignment="1">
      <alignment horizontal="right" wrapText="1"/>
    </xf>
    <xf numFmtId="0" fontId="48" fillId="6" borderId="41" xfId="0" applyFont="1" applyFill="1" applyBorder="1" applyAlignment="1">
      <alignment horizontal="center" wrapText="1"/>
    </xf>
    <xf numFmtId="0" fontId="61" fillId="36" borderId="35" xfId="0" applyFont="1" applyFill="1" applyBorder="1" applyAlignment="1">
      <alignment horizontal="right" wrapText="1"/>
    </xf>
    <xf numFmtId="0" fontId="61" fillId="36" borderId="34" xfId="0" applyFont="1" applyFill="1" applyBorder="1" applyAlignment="1">
      <alignment horizontal="right" wrapText="1"/>
    </xf>
    <xf numFmtId="0" fontId="48" fillId="60" borderId="109" xfId="0" applyFont="1" applyFill="1" applyBorder="1" applyAlignment="1">
      <alignment horizontal="center" vertical="center" wrapText="1"/>
    </xf>
    <xf numFmtId="0" fontId="48" fillId="60" borderId="27" xfId="0" applyFont="1" applyFill="1" applyBorder="1" applyAlignment="1">
      <alignment horizontal="center" vertical="center" wrapText="1"/>
    </xf>
    <xf numFmtId="0" fontId="48" fillId="60" borderId="84" xfId="0" applyFont="1" applyFill="1" applyBorder="1" applyAlignment="1">
      <alignment horizontal="center" vertical="center" wrapText="1"/>
    </xf>
    <xf numFmtId="0" fontId="48" fillId="49" borderId="109" xfId="0" applyFont="1" applyFill="1" applyBorder="1" applyAlignment="1">
      <alignment horizontal="center" vertical="center" wrapText="1"/>
    </xf>
    <xf numFmtId="0" fontId="48" fillId="49" borderId="27" xfId="0" applyFont="1" applyFill="1" applyBorder="1" applyAlignment="1">
      <alignment horizontal="center" vertical="center" wrapText="1"/>
    </xf>
    <xf numFmtId="0" fontId="48" fillId="49" borderId="84" xfId="0" applyFont="1" applyFill="1" applyBorder="1" applyAlignment="1">
      <alignment horizontal="center" vertical="center" wrapText="1"/>
    </xf>
    <xf numFmtId="0" fontId="82" fillId="5" borderId="0" xfId="15" applyFont="1" applyFill="1" applyAlignment="1"/>
    <xf numFmtId="0" fontId="60" fillId="36" borderId="0" xfId="0" applyFont="1" applyFill="1" applyAlignment="1">
      <alignment horizontal="center" vertical="center" wrapText="1"/>
    </xf>
    <xf numFmtId="0" fontId="60" fillId="9" borderId="0" xfId="0" applyFont="1" applyFill="1" applyAlignment="1">
      <alignment horizontal="center" vertical="center" wrapText="1"/>
    </xf>
    <xf numFmtId="0" fontId="9" fillId="5" borderId="0" xfId="6" applyFont="1" applyFill="1" applyAlignment="1">
      <alignment horizontal="center"/>
    </xf>
    <xf numFmtId="0" fontId="10" fillId="0" borderId="9" xfId="0" applyFont="1" applyBorder="1" applyAlignment="1">
      <alignment horizontal="right"/>
    </xf>
    <xf numFmtId="0" fontId="10" fillId="0" borderId="46" xfId="0" applyFont="1" applyBorder="1" applyAlignment="1">
      <alignment horizontal="right"/>
    </xf>
    <xf numFmtId="0" fontId="10" fillId="0" borderId="19" xfId="0" applyFont="1" applyBorder="1" applyAlignment="1">
      <alignment horizontal="center"/>
    </xf>
    <xf numFmtId="0" fontId="38" fillId="36" borderId="2" xfId="6" applyFont="1" applyFill="1" applyBorder="1" applyAlignment="1">
      <alignment horizontal="center"/>
    </xf>
    <xf numFmtId="0" fontId="10" fillId="36" borderId="2" xfId="0" applyFont="1" applyFill="1" applyBorder="1" applyAlignment="1">
      <alignment horizontal="center"/>
    </xf>
    <xf numFmtId="0" fontId="79" fillId="5" borderId="0" xfId="0" applyFont="1" applyFill="1" applyAlignment="1">
      <alignment horizontal="center"/>
    </xf>
    <xf numFmtId="0" fontId="87" fillId="43" borderId="0" xfId="0" applyFont="1" applyFill="1" applyAlignment="1">
      <alignment horizontal="center" vertical="center" wrapText="1"/>
    </xf>
    <xf numFmtId="0" fontId="87" fillId="43" borderId="2" xfId="0" applyFont="1" applyFill="1" applyBorder="1" applyAlignment="1">
      <alignment horizontal="center" vertical="center" wrapText="1"/>
    </xf>
    <xf numFmtId="0" fontId="76" fillId="48" borderId="0" xfId="0" applyFont="1" applyFill="1" applyAlignment="1">
      <alignment horizontal="center" vertical="center" wrapText="1"/>
    </xf>
    <xf numFmtId="0" fontId="60" fillId="0" borderId="0" xfId="0" applyFont="1" applyAlignment="1">
      <alignment horizontal="center" vertical="center" wrapText="1"/>
    </xf>
    <xf numFmtId="0" fontId="84" fillId="0" borderId="0" xfId="0" applyFont="1" applyAlignment="1">
      <alignment horizontal="center" vertical="center" wrapText="1"/>
    </xf>
    <xf numFmtId="0" fontId="62" fillId="0" borderId="0" xfId="0" applyFont="1" applyAlignment="1">
      <alignment horizontal="left"/>
    </xf>
    <xf numFmtId="0" fontId="10" fillId="0" borderId="0" xfId="0" applyFont="1" applyAlignment="1">
      <alignment horizontal="left"/>
    </xf>
    <xf numFmtId="0" fontId="60" fillId="16" borderId="32" xfId="0" applyFont="1" applyFill="1" applyBorder="1" applyAlignment="1">
      <alignment horizontal="center" vertical="center" wrapText="1"/>
    </xf>
    <xf numFmtId="0" fontId="60" fillId="25" borderId="32" xfId="0" applyFont="1" applyFill="1" applyBorder="1" applyAlignment="1">
      <alignment horizontal="center" vertical="center" wrapText="1"/>
    </xf>
    <xf numFmtId="0" fontId="60" fillId="25" borderId="0" xfId="0" applyFont="1" applyFill="1" applyAlignment="1">
      <alignment horizontal="center" vertical="center" wrapText="1"/>
    </xf>
    <xf numFmtId="0" fontId="81" fillId="25" borderId="32" xfId="0" applyFont="1" applyFill="1" applyBorder="1" applyAlignment="1">
      <alignment horizontal="center" vertical="center" wrapText="1"/>
    </xf>
    <xf numFmtId="0" fontId="9" fillId="5" borderId="0" xfId="6" applyFont="1" applyFill="1" applyBorder="1" applyAlignment="1">
      <alignment horizontal="left"/>
    </xf>
    <xf numFmtId="0" fontId="0" fillId="9" borderId="0" xfId="0" applyFill="1" applyAlignment="1">
      <alignment horizontal="center" wrapText="1"/>
    </xf>
    <xf numFmtId="0" fontId="87" fillId="0" borderId="0" xfId="0" applyFont="1" applyAlignment="1">
      <alignment horizontal="center"/>
    </xf>
    <xf numFmtId="0" fontId="88" fillId="35" borderId="0" xfId="0" applyFont="1" applyFill="1" applyAlignment="1">
      <alignment horizontal="center" vertical="center" wrapText="1"/>
    </xf>
    <xf numFmtId="0" fontId="9" fillId="65" borderId="100" xfId="0" applyFont="1" applyFill="1" applyBorder="1" applyAlignment="1">
      <alignment horizontal="center"/>
    </xf>
    <xf numFmtId="0" fontId="19" fillId="0" borderId="0" xfId="0" applyFont="1" applyAlignment="1">
      <alignment horizontal="center"/>
    </xf>
    <xf numFmtId="0" fontId="11" fillId="54" borderId="38" xfId="0" applyFont="1" applyFill="1" applyBorder="1" applyAlignment="1">
      <alignment horizontal="center" wrapText="1"/>
    </xf>
    <xf numFmtId="0" fontId="11" fillId="54" borderId="0" xfId="0" applyFont="1" applyFill="1" applyAlignment="1">
      <alignment horizontal="center" wrapText="1"/>
    </xf>
    <xf numFmtId="0" fontId="0" fillId="9" borderId="0" xfId="0" applyFill="1" applyAlignment="1">
      <alignment horizontal="center" vertical="center" wrapText="1"/>
    </xf>
    <xf numFmtId="0" fontId="79" fillId="5" borderId="0" xfId="0" applyFont="1" applyFill="1" applyAlignment="1">
      <alignment horizontal="center" vertical="center" wrapText="1"/>
    </xf>
    <xf numFmtId="0" fontId="11" fillId="9" borderId="38" xfId="0" applyFont="1" applyFill="1" applyBorder="1" applyAlignment="1">
      <alignment horizontal="center" wrapText="1"/>
    </xf>
    <xf numFmtId="0" fontId="11" fillId="9" borderId="0" xfId="0" applyFont="1" applyFill="1" applyAlignment="1">
      <alignment horizontal="center" wrapText="1"/>
    </xf>
  </cellXfs>
  <cellStyles count="20">
    <cellStyle name="Comma" xfId="7" builtinId="3"/>
    <cellStyle name="Comma 2" xfId="3" xr:uid="{CB048455-65E0-4677-A6EC-C061F1039897}"/>
    <cellStyle name="Comma 3" xfId="11" xr:uid="{57217FF9-BD10-CB42-84E9-1CB0FE2E8F80}"/>
    <cellStyle name="Comma 4" xfId="14" xr:uid="{3A5FC964-9893-F147-ACE5-0664AA046C1B}"/>
    <cellStyle name="Currency" xfId="9" builtinId="4"/>
    <cellStyle name="Currency 2" xfId="13" xr:uid="{A4458CB2-9E86-4941-A9A9-CCDF72F4E6AB}"/>
    <cellStyle name="Currency 3" xfId="16" xr:uid="{A2C13CFA-C153-5D4C-B731-82F53E3DA985}"/>
    <cellStyle name="Currency 4" xfId="18" xr:uid="{E841237A-719C-D24D-8576-DD2470DC538A}"/>
    <cellStyle name="Heading 1" xfId="19" builtinId="16"/>
    <cellStyle name="Hyperlink" xfId="6" builtinId="8"/>
    <cellStyle name="Hyperlink 2" xfId="2" xr:uid="{DB189401-AD93-4DE9-A7DD-A22801E9E19A}"/>
    <cellStyle name="Normal" xfId="0" builtinId="0"/>
    <cellStyle name="Normal 2" xfId="1" xr:uid="{9CD8FEAB-E5CD-4DDA-B8A7-81C2CE3943D2}"/>
    <cellStyle name="Normal 3" xfId="5" xr:uid="{43CF91C8-019A-4DFD-95CE-9D39A8586300}"/>
    <cellStyle name="Normal 4" xfId="12" xr:uid="{58621AE9-DA9C-704F-A182-25044D5F15DA}"/>
    <cellStyle name="Normal 5" xfId="15" xr:uid="{DAB73E1E-58C9-C749-B003-1B1C26B19944}"/>
    <cellStyle name="Normal 6" xfId="17" xr:uid="{58228377-C88E-6841-B3E9-BA99D9DE89E5}"/>
    <cellStyle name="Percent" xfId="8" builtinId="5"/>
    <cellStyle name="Percent 2" xfId="4" xr:uid="{EE0AB766-ADB4-4373-9B82-56B57F99D1B7}"/>
    <cellStyle name="Percent 3" xfId="10" xr:uid="{FF6BFB3A-0B07-F84C-894D-7AAA03D66926}"/>
  </cellStyles>
  <dxfs count="14">
    <dxf>
      <fill>
        <patternFill patternType="solid">
          <bgColor theme="9" tint="0.79998168889431442"/>
        </patternFill>
      </fill>
    </dxf>
    <dxf>
      <alignment wrapText="1"/>
    </dxf>
    <dxf>
      <alignment wrapText="1"/>
    </dxf>
    <dxf>
      <alignment wrapText="1"/>
    </dxf>
    <dxf>
      <alignment wrapText="1"/>
    </dxf>
    <dxf>
      <alignment wrapText="1"/>
    </dxf>
    <dxf>
      <fill>
        <patternFill patternType="solid">
          <bgColor theme="9" tint="0.79998168889431442"/>
        </patternFill>
      </fill>
    </dxf>
    <dxf>
      <alignment horizontal="center" vertical="bottom" textRotation="0" wrapText="0" indent="0" justifyLastLine="0" shrinkToFit="0" readingOrder="0"/>
    </dxf>
    <dxf>
      <fill>
        <patternFill patternType="solid">
          <fgColor indexed="64"/>
          <bgColor rgb="FF002060"/>
        </patternFill>
      </fill>
      <alignment horizontal="center" vertical="bottom" textRotation="0" wrapText="0" indent="0" justifyLastLine="0" shrinkToFit="0" readingOrder="0"/>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0000FF"/>
      <color rgb="FFFF4D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microsoft.com/office/2017/10/relationships/person" Target="persons/person.xml"/><Relationship Id="rId21" Type="http://schemas.openxmlformats.org/officeDocument/2006/relationships/worksheet" Target="worksheets/sheet21.xml"/><Relationship Id="rId34" Type="http://schemas.openxmlformats.org/officeDocument/2006/relationships/pivotCacheDefinition" Target="pivotCache/pivotCacheDefinition1.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b="0" i="0" baseline="0">
                <a:solidFill>
                  <a:schemeClr val="tx1"/>
                </a:solidFill>
                <a:effectLst/>
                <a:latin typeface="Times" pitchFamily="2" charset="0"/>
              </a:rPr>
              <a:t>Total Funding Required vs. FCF (Y1 - Y5)</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Capital Needed</c:v>
          </c:tx>
          <c:spPr>
            <a:ln w="28575" cap="rnd">
              <a:solidFill>
                <a:schemeClr val="accent2">
                  <a:lumMod val="60000"/>
                  <a:lumOff val="40000"/>
                </a:schemeClr>
              </a:solidFill>
              <a:round/>
            </a:ln>
            <a:effectLst/>
          </c:spPr>
          <c:marker>
            <c:symbol val="none"/>
          </c:marker>
          <c:dLbls>
            <c:dLbl>
              <c:idx val="5"/>
              <c:layout>
                <c:manualLayout>
                  <c:x val="-3.8759794298414509E-2"/>
                  <c:y val="6.35245316794397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C0-2046-8F2D-CE039D639E07}"/>
                </c:ext>
              </c:extLst>
            </c:dLbl>
            <c:numFmt formatCode="#,##0.0,,\ &quot;M&quot;\ "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'FE Balance Sheet'!$D$3:$I$3</c:f>
              <c:numCache>
                <c:formatCode>General</c:formatCode>
                <c:ptCount val="6"/>
                <c:pt idx="0">
                  <c:v>0</c:v>
                </c:pt>
                <c:pt idx="1">
                  <c:v>1</c:v>
                </c:pt>
                <c:pt idx="2">
                  <c:v>2</c:v>
                </c:pt>
                <c:pt idx="3">
                  <c:v>3</c:v>
                </c:pt>
                <c:pt idx="4">
                  <c:v>4</c:v>
                </c:pt>
                <c:pt idx="5">
                  <c:v>5</c:v>
                </c:pt>
              </c:numCache>
            </c:numRef>
          </c:cat>
          <c:val>
            <c:numRef>
              <c:f>'FE Balance Sheet'!$D$27:$I$27</c:f>
              <c:numCache>
                <c:formatCode>_(* #,##0_);_(* \(#,##0\);_(* "-"??_);_(@_)</c:formatCode>
                <c:ptCount val="6"/>
                <c:pt idx="0">
                  <c:v>644577.99891385832</c:v>
                </c:pt>
                <c:pt idx="1">
                  <c:v>1233353.6519884304</c:v>
                </c:pt>
                <c:pt idx="2">
                  <c:v>1534220.9573752955</c:v>
                </c:pt>
                <c:pt idx="3">
                  <c:v>1537033.9340179844</c:v>
                </c:pt>
                <c:pt idx="4">
                  <c:v>1537033.9340179844</c:v>
                </c:pt>
                <c:pt idx="5">
                  <c:v>1537033.9340179844</c:v>
                </c:pt>
              </c:numCache>
            </c:numRef>
          </c:val>
          <c:smooth val="0"/>
          <c:extLst>
            <c:ext xmlns:c16="http://schemas.microsoft.com/office/drawing/2014/chart" uri="{C3380CC4-5D6E-409C-BE32-E72D297353CC}">
              <c16:uniqueId val="{00000001-359E-4B70-A52C-C9BD653DA51D}"/>
            </c:ext>
          </c:extLst>
        </c:ser>
        <c:ser>
          <c:idx val="1"/>
          <c:order val="1"/>
          <c:tx>
            <c:v>Free Cash Flow</c:v>
          </c:tx>
          <c:spPr>
            <a:ln w="28575" cap="rnd">
              <a:solidFill>
                <a:schemeClr val="bg2">
                  <a:lumMod val="75000"/>
                </a:schemeClr>
              </a:solidFill>
              <a:round/>
            </a:ln>
            <a:effectLst/>
          </c:spPr>
          <c:marker>
            <c:symbol val="none"/>
          </c:marker>
          <c:dLbls>
            <c:dLbl>
              <c:idx val="5"/>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E9-F043-B564-B94C47BEAAC3}"/>
                </c:ext>
              </c:extLst>
            </c:dLbl>
            <c:numFmt formatCode="#,##0.0,,\ &quot;M&quot;\ "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l"/>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'FE Balance Sheet'!$D$3:$I$3</c:f>
              <c:numCache>
                <c:formatCode>General</c:formatCode>
                <c:ptCount val="6"/>
                <c:pt idx="0">
                  <c:v>0</c:v>
                </c:pt>
                <c:pt idx="1">
                  <c:v>1</c:v>
                </c:pt>
                <c:pt idx="2">
                  <c:v>2</c:v>
                </c:pt>
                <c:pt idx="3">
                  <c:v>3</c:v>
                </c:pt>
                <c:pt idx="4">
                  <c:v>4</c:v>
                </c:pt>
                <c:pt idx="5">
                  <c:v>5</c:v>
                </c:pt>
              </c:numCache>
            </c:numRef>
          </c:cat>
          <c:val>
            <c:numRef>
              <c:f>'FE Cash Flow'!$D$17:$I$17</c:f>
              <c:numCache>
                <c:formatCode>_(* #,##0_);_(* \(#,##0\);_(* "-"??_);_(@_)</c:formatCode>
                <c:ptCount val="6"/>
                <c:pt idx="0">
                  <c:v>-644577.99891385832</c:v>
                </c:pt>
                <c:pt idx="1">
                  <c:v>-588775.65307457198</c:v>
                </c:pt>
                <c:pt idx="2">
                  <c:v>-300867.30538686516</c:v>
                </c:pt>
                <c:pt idx="3">
                  <c:v>-2812.9766426890437</c:v>
                </c:pt>
                <c:pt idx="4">
                  <c:v>548459.50414591352</c:v>
                </c:pt>
                <c:pt idx="5">
                  <c:v>3813879.692971488</c:v>
                </c:pt>
              </c:numCache>
            </c:numRef>
          </c:val>
          <c:smooth val="0"/>
          <c:extLst>
            <c:ext xmlns:c16="http://schemas.microsoft.com/office/drawing/2014/chart" uri="{C3380CC4-5D6E-409C-BE32-E72D297353CC}">
              <c16:uniqueId val="{00000001-6545-ED47-B7E4-27B45235A48F}"/>
            </c:ext>
          </c:extLst>
        </c:ser>
        <c:dLbls>
          <c:showLegendKey val="0"/>
          <c:showVal val="0"/>
          <c:showCatName val="0"/>
          <c:showSerName val="0"/>
          <c:showPercent val="0"/>
          <c:showBubbleSize val="0"/>
        </c:dLbls>
        <c:smooth val="0"/>
        <c:axId val="171442855"/>
        <c:axId val="664134408"/>
      </c:lineChart>
      <c:catAx>
        <c:axId val="171442855"/>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664134408"/>
        <c:crosses val="autoZero"/>
        <c:auto val="1"/>
        <c:lblAlgn val="ctr"/>
        <c:lblOffset val="100"/>
        <c:noMultiLvlLbl val="0"/>
      </c:catAx>
      <c:valAx>
        <c:axId val="664134408"/>
        <c:scaling>
          <c:orientation val="minMax"/>
        </c:scaling>
        <c:delete val="0"/>
        <c:axPos val="l"/>
        <c:numFmt formatCode="#,##0.0,,\ &quot;M&quot;\ "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1714428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solidFill>
                  <a:schemeClr val="tx1"/>
                </a:solidFill>
                <a:latin typeface="Times New Roman" panose="02020603050405020304" pitchFamily="18" charset="0"/>
                <a:cs typeface="Times New Roman" panose="02020603050405020304" pitchFamily="18" charset="0"/>
              </a:rPr>
              <a:t>Product</a:t>
            </a:r>
            <a:r>
              <a:rPr lang="en-US" baseline="0">
                <a:solidFill>
                  <a:schemeClr val="tx1"/>
                </a:solidFill>
                <a:latin typeface="Times New Roman" panose="02020603050405020304" pitchFamily="18" charset="0"/>
                <a:cs typeface="Times New Roman" panose="02020603050405020304" pitchFamily="18" charset="0"/>
              </a:rPr>
              <a:t> Life Cycle of 13 years will have be 3.2x of Year 5 Cash Flow </a:t>
            </a:r>
            <a:endParaRPr lang="en-US">
              <a:solidFill>
                <a:schemeClr val="tx1"/>
              </a:solidFill>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lineChart>
        <c:grouping val="standard"/>
        <c:varyColors val="0"/>
        <c:ser>
          <c:idx val="1"/>
          <c:order val="0"/>
          <c:tx>
            <c:strRef>
              <c:f>'FE Terminal Value'!$E$5</c:f>
              <c:strCache>
                <c:ptCount val="1"/>
                <c:pt idx="0">
                  <c:v>Cash Flow</c:v>
                </c:pt>
              </c:strCache>
            </c:strRef>
          </c:tx>
          <c:spPr>
            <a:ln w="28575" cap="rnd">
              <a:solidFill>
                <a:srgbClr val="4472C4"/>
              </a:solidFill>
              <a:prstDash val="solid"/>
              <a:round/>
            </a:ln>
            <a:effectLst/>
          </c:spPr>
          <c:marker>
            <c:symbol val="none"/>
          </c:marker>
          <c:dPt>
            <c:idx val="5"/>
            <c:marker>
              <c:symbol val="circle"/>
              <c:size val="5"/>
              <c:spPr>
                <a:solidFill>
                  <a:schemeClr val="tx1"/>
                </a:solidFill>
                <a:ln w="9525">
                  <a:solidFill>
                    <a:schemeClr val="tx1"/>
                  </a:solidFill>
                </a:ln>
                <a:effectLst/>
              </c:spPr>
            </c:marker>
            <c:bubble3D val="0"/>
            <c:extLst>
              <c:ext xmlns:c16="http://schemas.microsoft.com/office/drawing/2014/chart" uri="{C3380CC4-5D6E-409C-BE32-E72D297353CC}">
                <c16:uniqueId val="{00000001-1667-5647-96AA-C2A4CA8DCE75}"/>
              </c:ext>
            </c:extLst>
          </c:dPt>
          <c:dPt>
            <c:idx val="12"/>
            <c:marker>
              <c:symbol val="circle"/>
              <c:size val="5"/>
              <c:spPr>
                <a:solidFill>
                  <a:schemeClr val="tx1"/>
                </a:solidFill>
                <a:ln w="9525">
                  <a:solidFill>
                    <a:schemeClr val="tx1"/>
                  </a:solidFill>
                </a:ln>
                <a:effectLst/>
              </c:spPr>
            </c:marker>
            <c:bubble3D val="0"/>
            <c:extLst>
              <c:ext xmlns:c16="http://schemas.microsoft.com/office/drawing/2014/chart" uri="{C3380CC4-5D6E-409C-BE32-E72D297353CC}">
                <c16:uniqueId val="{00000002-1667-5647-96AA-C2A4CA8DCE75}"/>
              </c:ext>
            </c:extLst>
          </c:dPt>
          <c:dLbls>
            <c:dLbl>
              <c:idx val="5"/>
              <c:layout>
                <c:manualLayout>
                  <c:x val="-5.7698919702931693E-2"/>
                  <c:y val="-4.2770135219859264E-2"/>
                </c:manualLayout>
              </c:layout>
              <c:tx>
                <c:rich>
                  <a:bodyPr/>
                  <a:lstStyle/>
                  <a:p>
                    <a:r>
                      <a:rPr lang="en-US"/>
                      <a:t>Peak:</a:t>
                    </a:r>
                    <a:r>
                      <a:rPr lang="en-US" baseline="0"/>
                      <a:t> </a:t>
                    </a:r>
                    <a:r>
                      <a:rPr lang="en-US"/>
                      <a:t>970K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667-5647-96AA-C2A4CA8DCE75}"/>
                </c:ext>
              </c:extLst>
            </c:dLbl>
            <c:dLbl>
              <c:idx val="12"/>
              <c:layout>
                <c:manualLayout>
                  <c:x val="-3.5031486962494245E-2"/>
                  <c:y val="4.2770135219859264E-2"/>
                </c:manualLayout>
              </c:layout>
              <c:tx>
                <c:rich>
                  <a:bodyPr/>
                  <a:lstStyle/>
                  <a:p>
                    <a:r>
                      <a:rPr lang="en-US"/>
                      <a:t>326K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667-5647-96AA-C2A4CA8DCE7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'FE Terminal Value'!$E$7:$E$20</c:f>
              <c:numCache>
                <c:formatCode>"$"#,##0</c:formatCode>
                <c:ptCount val="14"/>
                <c:pt idx="0">
                  <c:v>-588775.65307457198</c:v>
                </c:pt>
                <c:pt idx="1">
                  <c:v>-300867.30538686516</c:v>
                </c:pt>
                <c:pt idx="2">
                  <c:v>-2812.9766426890437</c:v>
                </c:pt>
                <c:pt idx="3">
                  <c:v>548459.50414591352</c:v>
                </c:pt>
                <c:pt idx="4">
                  <c:v>898214.61743229162</c:v>
                </c:pt>
                <c:pt idx="5">
                  <c:v>970071.78682687506</c:v>
                </c:pt>
                <c:pt idx="6">
                  <c:v>873064.6081441876</c:v>
                </c:pt>
                <c:pt idx="7">
                  <c:v>785758.14732976886</c:v>
                </c:pt>
                <c:pt idx="8">
                  <c:v>707182.33259679202</c:v>
                </c:pt>
                <c:pt idx="9">
                  <c:v>601104.98270727322</c:v>
                </c:pt>
                <c:pt idx="10">
                  <c:v>510939.2353011822</c:v>
                </c:pt>
                <c:pt idx="11">
                  <c:v>408751.38824094576</c:v>
                </c:pt>
                <c:pt idx="12">
                  <c:v>327001.11059275665</c:v>
                </c:pt>
              </c:numCache>
            </c:numRef>
          </c:val>
          <c:smooth val="0"/>
          <c:extLst>
            <c:ext xmlns:c16="http://schemas.microsoft.com/office/drawing/2014/chart" uri="{C3380CC4-5D6E-409C-BE32-E72D297353CC}">
              <c16:uniqueId val="{00000001-B903-4563-ADA0-C17290541719}"/>
            </c:ext>
          </c:extLst>
        </c:ser>
        <c:dLbls>
          <c:showLegendKey val="0"/>
          <c:showVal val="0"/>
          <c:showCatName val="0"/>
          <c:showSerName val="0"/>
          <c:showPercent val="0"/>
          <c:showBubbleSize val="0"/>
        </c:dLbls>
        <c:smooth val="0"/>
        <c:axId val="60482047"/>
        <c:axId val="60485791"/>
      </c:lineChart>
      <c:catAx>
        <c:axId val="60482047"/>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60485791"/>
        <c:crosses val="autoZero"/>
        <c:auto val="1"/>
        <c:lblAlgn val="ctr"/>
        <c:lblOffset val="100"/>
        <c:noMultiLvlLbl val="0"/>
      </c:catAx>
      <c:valAx>
        <c:axId val="60485791"/>
        <c:scaling>
          <c:orientation val="minMax"/>
        </c:scaling>
        <c:delete val="0"/>
        <c:axPos val="l"/>
        <c:numFmt formatCode="#,##0.0,,\ &quot;M&quot;"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604820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MY First Aid FRIEND REVENUE GRoWS AT 83% CAGR in FIRST 5 YEARS  </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'FE Income Statement Graphs'!$C$3</c:f>
              <c:strCache>
                <c:ptCount val="1"/>
                <c:pt idx="0">
                  <c:v>Revenue</c:v>
                </c:pt>
              </c:strCache>
            </c:strRef>
          </c:tx>
          <c:spPr>
            <a:solidFill>
              <a:srgbClr val="4472C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'FE Income Statement Graphs'!$C$4:$C$8</c:f>
              <c:numCache>
                <c:formatCode>"$"#,##0_);[Red]\("$"#,##0\)</c:formatCode>
                <c:ptCount val="5"/>
                <c:pt idx="0">
                  <c:v>673694.10357142857</c:v>
                </c:pt>
                <c:pt idx="1">
                  <c:v>1325465.8147058827</c:v>
                </c:pt>
                <c:pt idx="2">
                  <c:v>3292684.0205680602</c:v>
                </c:pt>
                <c:pt idx="3">
                  <c:v>5499997.058777513</c:v>
                </c:pt>
                <c:pt idx="4">
                  <c:v>7535992.1350599276</c:v>
                </c:pt>
              </c:numCache>
            </c:numRef>
          </c:val>
          <c:extLst>
            <c:ext xmlns:c16="http://schemas.microsoft.com/office/drawing/2014/chart" uri="{C3380CC4-5D6E-409C-BE32-E72D297353CC}">
              <c16:uniqueId val="{00000000-5A21-4434-92E8-42C373C839F6}"/>
            </c:ext>
          </c:extLst>
        </c:ser>
        <c:ser>
          <c:idx val="1"/>
          <c:order val="1"/>
          <c:tx>
            <c:strRef>
              <c:f>'FE Income Statement Graphs'!$D$3</c:f>
              <c:strCache>
                <c:ptCount val="1"/>
                <c:pt idx="0">
                  <c:v>Net Income</c:v>
                </c:pt>
              </c:strCache>
            </c:strRef>
          </c:tx>
          <c:spPr>
            <a:solidFill>
              <a:srgbClr val="AEAAAA"/>
            </a:solidFill>
            <a:ln>
              <a:noFill/>
            </a:ln>
            <a:effectLst/>
          </c:spPr>
          <c:invertIfNegative val="0"/>
          <c:dLbls>
            <c:dLbl>
              <c:idx val="0"/>
              <c:layout>
                <c:manualLayout>
                  <c:x val="1.1380420855131991E-3"/>
                  <c:y val="-3.02243143899863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A21-4434-92E8-42C373C839F6}"/>
                </c:ext>
              </c:extLst>
            </c:dLbl>
            <c:dLbl>
              <c:idx val="1"/>
              <c:layout>
                <c:manualLayout>
                  <c:x val="1.1380420855131991E-3"/>
                  <c:y val="-1.700117684436738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21-4434-92E8-42C373C839F6}"/>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'FE Income Statement Graphs'!$D$4:$D$8</c:f>
              <c:numCache>
                <c:formatCode>"$"#,##0_);[Red]\("$"#,##0\)</c:formatCode>
                <c:ptCount val="5"/>
                <c:pt idx="0">
                  <c:v>-449291.10011285637</c:v>
                </c:pt>
                <c:pt idx="1">
                  <c:v>-154376.98843335826</c:v>
                </c:pt>
                <c:pt idx="2">
                  <c:v>458943.32121341419</c:v>
                </c:pt>
                <c:pt idx="3">
                  <c:v>1238493.2969359448</c:v>
                </c:pt>
                <c:pt idx="4">
                  <c:v>1873704.2702724095</c:v>
                </c:pt>
              </c:numCache>
            </c:numRef>
          </c:val>
          <c:extLst>
            <c:ext xmlns:c16="http://schemas.microsoft.com/office/drawing/2014/chart" uri="{C3380CC4-5D6E-409C-BE32-E72D297353CC}">
              <c16:uniqueId val="{00000001-5A21-4434-92E8-42C373C839F6}"/>
            </c:ext>
          </c:extLst>
        </c:ser>
        <c:dLbls>
          <c:dLblPos val="ctr"/>
          <c:showLegendKey val="0"/>
          <c:showVal val="1"/>
          <c:showCatName val="0"/>
          <c:showSerName val="0"/>
          <c:showPercent val="0"/>
          <c:showBubbleSize val="0"/>
        </c:dLbls>
        <c:gapWidth val="79"/>
        <c:overlap val="100"/>
        <c:axId val="1477775680"/>
        <c:axId val="1477774848"/>
      </c:barChart>
      <c:catAx>
        <c:axId val="147777568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cap="all" baseline="0">
                    <a:solidFill>
                      <a:schemeClr val="tx1">
                        <a:lumMod val="65000"/>
                        <a:lumOff val="35000"/>
                      </a:schemeClr>
                    </a:solidFill>
                    <a:latin typeface="+mn-lt"/>
                    <a:ea typeface="+mn-ea"/>
                    <a:cs typeface="+mn-cs"/>
                  </a:defRPr>
                </a:pPr>
                <a:r>
                  <a:rPr lang="en-US" sz="1200"/>
                  <a:t>YEAR</a:t>
                </a:r>
              </a:p>
            </c:rich>
          </c:tx>
          <c:overlay val="0"/>
          <c:spPr>
            <a:noFill/>
            <a:ln>
              <a:noFill/>
            </a:ln>
            <a:effectLst/>
          </c:spPr>
          <c:txPr>
            <a:bodyPr rot="0" spcFirstLastPara="1" vertOverflow="ellipsis" vert="horz" wrap="square" anchor="ctr" anchorCtr="1"/>
            <a:lstStyle/>
            <a:p>
              <a:pPr>
                <a:defRPr sz="1200" b="0" i="0" u="none" strike="noStrike" kern="1200" cap="all" baseline="0">
                  <a:solidFill>
                    <a:schemeClr val="tx1">
                      <a:lumMod val="65000"/>
                      <a:lumOff val="35000"/>
                    </a:schemeClr>
                  </a:solidFill>
                  <a:latin typeface="+mn-lt"/>
                  <a:ea typeface="+mn-ea"/>
                  <a:cs typeface="+mn-cs"/>
                </a:defRPr>
              </a:pPr>
              <a:endParaRPr lang="en-US"/>
            </a:p>
          </c:txPr>
        </c:title>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cap="all" spc="120" normalizeH="0" baseline="0">
                <a:solidFill>
                  <a:schemeClr val="tx1">
                    <a:lumMod val="65000"/>
                    <a:lumOff val="35000"/>
                  </a:schemeClr>
                </a:solidFill>
                <a:latin typeface="+mn-lt"/>
                <a:ea typeface="+mn-ea"/>
                <a:cs typeface="+mn-cs"/>
              </a:defRPr>
            </a:pPr>
            <a:endParaRPr lang="en-US"/>
          </a:p>
        </c:txPr>
        <c:crossAx val="1477774848"/>
        <c:crosses val="autoZero"/>
        <c:auto val="1"/>
        <c:lblAlgn val="ctr"/>
        <c:lblOffset val="100"/>
        <c:noMultiLvlLbl val="0"/>
      </c:catAx>
      <c:valAx>
        <c:axId val="1477774848"/>
        <c:scaling>
          <c:orientation val="minMax"/>
        </c:scaling>
        <c:delete val="1"/>
        <c:axPos val="l"/>
        <c:title>
          <c:tx>
            <c:rich>
              <a:bodyPr rot="-5400000" spcFirstLastPara="1" vertOverflow="ellipsis" vert="horz" wrap="square" anchor="ctr" anchorCtr="1"/>
              <a:lstStyle/>
              <a:p>
                <a:pPr>
                  <a:defRPr sz="1200" b="0" i="0" u="none" strike="noStrike" kern="1200" cap="all" baseline="0">
                    <a:solidFill>
                      <a:schemeClr val="tx1">
                        <a:lumMod val="65000"/>
                        <a:lumOff val="35000"/>
                      </a:schemeClr>
                    </a:solidFill>
                    <a:latin typeface="+mn-lt"/>
                    <a:ea typeface="+mn-ea"/>
                    <a:cs typeface="+mn-cs"/>
                  </a:defRPr>
                </a:pPr>
                <a:r>
                  <a:rPr lang="en-US" sz="1200"/>
                  <a:t>$ AMount</a:t>
                </a:r>
              </a:p>
            </c:rich>
          </c:tx>
          <c:layout>
            <c:manualLayout>
              <c:xMode val="edge"/>
              <c:yMode val="edge"/>
              <c:x val="1.3782932677669297E-2"/>
              <c:y val="0.47683886051361618"/>
            </c:manualLayout>
          </c:layout>
          <c:overlay val="0"/>
          <c:spPr>
            <a:noFill/>
            <a:ln>
              <a:noFill/>
            </a:ln>
            <a:effectLst/>
          </c:spPr>
          <c:txPr>
            <a:bodyPr rot="-5400000" spcFirstLastPara="1" vertOverflow="ellipsis" vert="horz" wrap="square" anchor="ctr" anchorCtr="1"/>
            <a:lstStyle/>
            <a:p>
              <a:pPr>
                <a:defRPr sz="1200" b="0" i="0" u="none" strike="noStrike" kern="1200" cap="all" baseline="0">
                  <a:solidFill>
                    <a:schemeClr val="tx1">
                      <a:lumMod val="65000"/>
                      <a:lumOff val="35000"/>
                    </a:schemeClr>
                  </a:solidFill>
                  <a:latin typeface="+mn-lt"/>
                  <a:ea typeface="+mn-ea"/>
                  <a:cs typeface="+mn-cs"/>
                </a:defRPr>
              </a:pPr>
              <a:endParaRPr lang="en-US"/>
            </a:p>
          </c:txPr>
        </c:title>
        <c:numFmt formatCode="&quot;$&quot;#,##0_);[Red]\(&quot;$&quot;#,##0\)" sourceLinked="1"/>
        <c:majorTickMark val="none"/>
        <c:minorTickMark val="none"/>
        <c:tickLblPos val="nextTo"/>
        <c:crossAx val="147777568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b="1"/>
              <a:t>Business Scaling Drives</a:t>
            </a:r>
            <a:r>
              <a:rPr lang="en-US" sz="2000" b="1" baseline="0"/>
              <a:t> Increased Profitability </a:t>
            </a:r>
            <a:endParaRPr lang="en-US" sz="2000" b="1"/>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'FE Income Statement Graphs'!$C$34</c:f>
              <c:strCache>
                <c:ptCount val="1"/>
                <c:pt idx="0">
                  <c:v>COGS</c:v>
                </c:pt>
              </c:strCache>
            </c:strRef>
          </c:tx>
          <c:spPr>
            <a:solidFill>
              <a:schemeClr val="accent1"/>
            </a:solidFill>
            <a:ln>
              <a:noFill/>
            </a:ln>
            <a:effectLst/>
          </c:spPr>
          <c:invertIfNegative val="0"/>
          <c:val>
            <c:numRef>
              <c:f>'FE Income Statement Graphs'!$C$35:$C$39</c:f>
              <c:numCache>
                <c:formatCode>0.00%</c:formatCode>
                <c:ptCount val="5"/>
                <c:pt idx="0">
                  <c:v>0.63178584182900088</c:v>
                </c:pt>
                <c:pt idx="1">
                  <c:v>0.54875870857023989</c:v>
                </c:pt>
                <c:pt idx="2">
                  <c:v>0.47498510426167984</c:v>
                </c:pt>
                <c:pt idx="3">
                  <c:v>0.46355095199163798</c:v>
                </c:pt>
                <c:pt idx="4">
                  <c:v>0.4689669048881136</c:v>
                </c:pt>
              </c:numCache>
            </c:numRef>
          </c:val>
          <c:extLst>
            <c:ext xmlns:c16="http://schemas.microsoft.com/office/drawing/2014/chart" uri="{C3380CC4-5D6E-409C-BE32-E72D297353CC}">
              <c16:uniqueId val="{00000000-08A2-42CB-909A-964AA4620F73}"/>
            </c:ext>
          </c:extLst>
        </c:ser>
        <c:ser>
          <c:idx val="2"/>
          <c:order val="2"/>
          <c:tx>
            <c:strRef>
              <c:f>'FE Income Statement Graphs'!$G$34</c:f>
              <c:strCache>
                <c:ptCount val="1"/>
                <c:pt idx="0">
                  <c:v>SG&amp;A</c:v>
                </c:pt>
              </c:strCache>
            </c:strRef>
          </c:tx>
          <c:spPr>
            <a:solidFill>
              <a:srgbClr val="A6A6A6"/>
            </a:solidFill>
            <a:ln>
              <a:noFill/>
            </a:ln>
            <a:effectLst/>
          </c:spPr>
          <c:invertIfNegative val="0"/>
          <c:val>
            <c:numRef>
              <c:f>'FE Income Statement Graphs'!$G$35:$G$39</c:f>
              <c:numCache>
                <c:formatCode>0.00%</c:formatCode>
                <c:ptCount val="5"/>
                <c:pt idx="0">
                  <c:v>0.72758273733062262</c:v>
                </c:pt>
                <c:pt idx="1">
                  <c:v>0.39025981527466413</c:v>
                </c:pt>
                <c:pt idx="2">
                  <c:v>0.25500347339589019</c:v>
                </c:pt>
                <c:pt idx="3">
                  <c:v>0.18702000064884208</c:v>
                </c:pt>
                <c:pt idx="4">
                  <c:v>0.14016648755404207</c:v>
                </c:pt>
              </c:numCache>
            </c:numRef>
          </c:val>
          <c:extLst>
            <c:ext xmlns:c16="http://schemas.microsoft.com/office/drawing/2014/chart" uri="{C3380CC4-5D6E-409C-BE32-E72D297353CC}">
              <c16:uniqueId val="{00000003-08A2-42CB-909A-964AA4620F73}"/>
            </c:ext>
          </c:extLst>
        </c:ser>
        <c:ser>
          <c:idx val="3"/>
          <c:order val="3"/>
          <c:tx>
            <c:strRef>
              <c:f>'FE Income Statement Graphs'!$H$34</c:f>
              <c:strCache>
                <c:ptCount val="1"/>
                <c:pt idx="0">
                  <c:v>Marketing Expenses</c:v>
                </c:pt>
              </c:strCache>
            </c:strRef>
          </c:tx>
          <c:spPr>
            <a:solidFill>
              <a:srgbClr val="FFC000"/>
            </a:solidFill>
            <a:ln>
              <a:noFill/>
            </a:ln>
            <a:effectLst/>
          </c:spPr>
          <c:invertIfNegative val="0"/>
          <c:val>
            <c:numRef>
              <c:f>'FE Income Statement Graphs'!$H$35:$H$39</c:f>
              <c:numCache>
                <c:formatCode>0.00%</c:formatCode>
                <c:ptCount val="5"/>
                <c:pt idx="0">
                  <c:v>0.28432841072863141</c:v>
                </c:pt>
                <c:pt idx="1">
                  <c:v>0.16478136497615795</c:v>
                </c:pt>
                <c:pt idx="2">
                  <c:v>0.1221662019353133</c:v>
                </c:pt>
                <c:pt idx="3">
                  <c:v>0.1168710751792834</c:v>
                </c:pt>
                <c:pt idx="4">
                  <c:v>0.13642569031287982</c:v>
                </c:pt>
              </c:numCache>
            </c:numRef>
          </c:val>
          <c:extLst>
            <c:ext xmlns:c16="http://schemas.microsoft.com/office/drawing/2014/chart" uri="{C3380CC4-5D6E-409C-BE32-E72D297353CC}">
              <c16:uniqueId val="{00000004-08A2-42CB-909A-964AA4620F73}"/>
            </c:ext>
          </c:extLst>
        </c:ser>
        <c:dLbls>
          <c:showLegendKey val="0"/>
          <c:showVal val="0"/>
          <c:showCatName val="0"/>
          <c:showSerName val="0"/>
          <c:showPercent val="0"/>
          <c:showBubbleSize val="0"/>
        </c:dLbls>
        <c:gapWidth val="219"/>
        <c:overlap val="-27"/>
        <c:axId val="1419384976"/>
        <c:axId val="1419387056"/>
        <c:extLst>
          <c:ext xmlns:c15="http://schemas.microsoft.com/office/drawing/2012/chart" uri="{02D57815-91ED-43cb-92C2-25804820EDAC}">
            <c15:filteredBarSeries>
              <c15:ser>
                <c:idx val="1"/>
                <c:order val="1"/>
                <c:tx>
                  <c:strRef>
                    <c:extLst>
                      <c:ext uri="{02D57815-91ED-43cb-92C2-25804820EDAC}">
                        <c15:formulaRef>
                          <c15:sqref>'FE Income Statement Graphs'!$D$34</c15:sqref>
                        </c15:formulaRef>
                      </c:ext>
                    </c:extLst>
                    <c:strCache>
                      <c:ptCount val="1"/>
                      <c:pt idx="0">
                        <c:v>Gross Margin % Sales</c:v>
                      </c:pt>
                    </c:strCache>
                  </c:strRef>
                </c:tx>
                <c:spPr>
                  <a:solidFill>
                    <a:schemeClr val="accent2"/>
                  </a:solidFill>
                  <a:ln>
                    <a:noFill/>
                  </a:ln>
                  <a:effectLst/>
                </c:spPr>
                <c:invertIfNegative val="0"/>
                <c:val>
                  <c:numRef>
                    <c:extLst>
                      <c:ext uri="{02D57815-91ED-43cb-92C2-25804820EDAC}">
                        <c15:formulaRef>
                          <c15:sqref>'FE Income Statement Graphs'!$D$35:$D$39</c15:sqref>
                        </c15:formulaRef>
                      </c:ext>
                    </c:extLst>
                    <c:numCache>
                      <c:formatCode>0.00%</c:formatCode>
                      <c:ptCount val="5"/>
                      <c:pt idx="0">
                        <c:v>0.36821415817099912</c:v>
                      </c:pt>
                      <c:pt idx="1">
                        <c:v>0.45124129142976011</c:v>
                      </c:pt>
                      <c:pt idx="2">
                        <c:v>0.52501489573832016</c:v>
                      </c:pt>
                      <c:pt idx="3">
                        <c:v>0.53644904800836202</c:v>
                      </c:pt>
                      <c:pt idx="4">
                        <c:v>0.53103309511188646</c:v>
                      </c:pt>
                    </c:numCache>
                  </c:numRef>
                </c:val>
                <c:extLst>
                  <c:ext xmlns:c16="http://schemas.microsoft.com/office/drawing/2014/chart" uri="{C3380CC4-5D6E-409C-BE32-E72D297353CC}">
                    <c16:uniqueId val="{00000001-08A2-42CB-909A-964AA4620F73}"/>
                  </c:ext>
                </c:extLst>
              </c15:ser>
            </c15:filteredBarSeries>
          </c:ext>
        </c:extLst>
      </c:barChart>
      <c:catAx>
        <c:axId val="1419384976"/>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Year</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419387056"/>
        <c:crosses val="autoZero"/>
        <c:auto val="1"/>
        <c:lblAlgn val="ctr"/>
        <c:lblOffset val="100"/>
        <c:noMultiLvlLbl val="0"/>
      </c:catAx>
      <c:valAx>
        <c:axId val="1419387056"/>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 of Sales</a:t>
                </a:r>
              </a:p>
            </c:rich>
          </c:tx>
          <c:layout>
            <c:manualLayout>
              <c:xMode val="edge"/>
              <c:yMode val="edge"/>
              <c:x val="1.2864711185545602E-2"/>
              <c:y val="0.41386147720950278"/>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419384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t>Distribution Strategy Decreases</a:t>
            </a:r>
            <a:r>
              <a:rPr lang="en-US" sz="1600" b="1" baseline="0"/>
              <a:t> Selling Price, Leading to Increased Purchases</a:t>
            </a:r>
            <a:endParaRPr lang="en-US"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'FE Income Statement Graphs'!$D$92</c:f>
              <c:strCache>
                <c:ptCount val="1"/>
                <c:pt idx="0">
                  <c:v>Adjusted Purchasing Intent</c:v>
                </c:pt>
              </c:strCache>
            </c:strRef>
          </c:tx>
          <c:spPr>
            <a:solidFill>
              <a:srgbClr val="4472C4"/>
            </a:solidFill>
            <a:ln>
              <a:noFill/>
            </a:ln>
            <a:effectLst/>
          </c:spPr>
          <c:invertIfNegative val="0"/>
          <c:val>
            <c:numRef>
              <c:f>'FE Income Statement Graphs'!$D$93:$D$97</c:f>
              <c:numCache>
                <c:formatCode>0.00%</c:formatCode>
                <c:ptCount val="5"/>
                <c:pt idx="0">
                  <c:v>0.16374844537815125</c:v>
                </c:pt>
                <c:pt idx="1">
                  <c:v>0.16017037815126051</c:v>
                </c:pt>
                <c:pt idx="2">
                  <c:v>0.16314838118684324</c:v>
                </c:pt>
                <c:pt idx="3">
                  <c:v>0.17918143243969031</c:v>
                </c:pt>
                <c:pt idx="4">
                  <c:v>0.18150746686131858</c:v>
                </c:pt>
              </c:numCache>
            </c:numRef>
          </c:val>
          <c:extLst>
            <c:ext xmlns:c16="http://schemas.microsoft.com/office/drawing/2014/chart" uri="{C3380CC4-5D6E-409C-BE32-E72D297353CC}">
              <c16:uniqueId val="{00000002-6977-4B36-8A38-6A4A58956B0D}"/>
            </c:ext>
          </c:extLst>
        </c:ser>
        <c:dLbls>
          <c:showLegendKey val="0"/>
          <c:showVal val="0"/>
          <c:showCatName val="0"/>
          <c:showSerName val="0"/>
          <c:showPercent val="0"/>
          <c:showBubbleSize val="0"/>
        </c:dLbls>
        <c:gapWidth val="150"/>
        <c:axId val="1486194944"/>
        <c:axId val="1486194528"/>
      </c:barChart>
      <c:lineChart>
        <c:grouping val="standard"/>
        <c:varyColors val="0"/>
        <c:ser>
          <c:idx val="0"/>
          <c:order val="0"/>
          <c:tx>
            <c:strRef>
              <c:f>'FE Income Statement Graphs'!$C$92</c:f>
              <c:strCache>
                <c:ptCount val="1"/>
                <c:pt idx="0">
                  <c:v>Average Weighted Selling Price </c:v>
                </c:pt>
              </c:strCache>
            </c:strRef>
          </c:tx>
          <c:spPr>
            <a:ln w="28575" cap="rnd">
              <a:solidFill>
                <a:srgbClr val="FFC000"/>
              </a:solidFill>
              <a:prstDash val="solid"/>
              <a:round/>
            </a:ln>
            <a:effectLst/>
          </c:spPr>
          <c:marker>
            <c:symbol val="none"/>
          </c:marker>
          <c:val>
            <c:numRef>
              <c:f>'FE Income Statement Graphs'!$C$93:$C$97</c:f>
              <c:numCache>
                <c:formatCode>"$"#,##0.00</c:formatCode>
                <c:ptCount val="5"/>
                <c:pt idx="0">
                  <c:v>49.503571428571426</c:v>
                </c:pt>
                <c:pt idx="1">
                  <c:v>49.189705882352946</c:v>
                </c:pt>
                <c:pt idx="2">
                  <c:v>46.384977609219568</c:v>
                </c:pt>
                <c:pt idx="3">
                  <c:v>45.150854986944765</c:v>
                </c:pt>
                <c:pt idx="4">
                  <c:v>44.454622937924668</c:v>
                </c:pt>
              </c:numCache>
            </c:numRef>
          </c:val>
          <c:smooth val="0"/>
          <c:extLst>
            <c:ext xmlns:c16="http://schemas.microsoft.com/office/drawing/2014/chart" uri="{C3380CC4-5D6E-409C-BE32-E72D297353CC}">
              <c16:uniqueId val="{00000000-6977-4B36-8A38-6A4A58956B0D}"/>
            </c:ext>
          </c:extLst>
        </c:ser>
        <c:ser>
          <c:idx val="2"/>
          <c:order val="2"/>
          <c:tx>
            <c:strRef>
              <c:f>'FE Income Statement Graphs'!$E$92</c:f>
              <c:strCache>
                <c:ptCount val="1"/>
                <c:pt idx="0">
                  <c:v>Average Weighted Retailer Selling Price</c:v>
                </c:pt>
              </c:strCache>
            </c:strRef>
          </c:tx>
          <c:spPr>
            <a:ln w="28575" cap="rnd">
              <a:solidFill>
                <a:srgbClr val="808080"/>
              </a:solidFill>
              <a:prstDash val="solid"/>
              <a:round/>
            </a:ln>
            <a:effectLst/>
          </c:spPr>
          <c:marker>
            <c:symbol val="none"/>
          </c:marker>
          <c:val>
            <c:numRef>
              <c:f>'FE Income Statement Graphs'!$E$93:$E$97</c:f>
              <c:numCache>
                <c:formatCode>"$"#,##0.00</c:formatCode>
                <c:ptCount val="5"/>
                <c:pt idx="0">
                  <c:v>84.778571428571439</c:v>
                </c:pt>
                <c:pt idx="1">
                  <c:v>86.661764705882362</c:v>
                </c:pt>
                <c:pt idx="2">
                  <c:v>85.094394687154605</c:v>
                </c:pt>
                <c:pt idx="3">
                  <c:v>76.655946659340358</c:v>
                </c:pt>
                <c:pt idx="4">
                  <c:v>75.431718016378113</c:v>
                </c:pt>
              </c:numCache>
            </c:numRef>
          </c:val>
          <c:smooth val="0"/>
          <c:extLst>
            <c:ext xmlns:c16="http://schemas.microsoft.com/office/drawing/2014/chart" uri="{C3380CC4-5D6E-409C-BE32-E72D297353CC}">
              <c16:uniqueId val="{00000003-6977-4B36-8A38-6A4A58956B0D}"/>
            </c:ext>
          </c:extLst>
        </c:ser>
        <c:dLbls>
          <c:showLegendKey val="0"/>
          <c:showVal val="0"/>
          <c:showCatName val="0"/>
          <c:showSerName val="0"/>
          <c:showPercent val="0"/>
          <c:showBubbleSize val="0"/>
        </c:dLbls>
        <c:marker val="1"/>
        <c:smooth val="0"/>
        <c:axId val="1619772992"/>
        <c:axId val="1619761760"/>
      </c:lineChart>
      <c:catAx>
        <c:axId val="1619772992"/>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Year</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619761760"/>
        <c:crosses val="autoZero"/>
        <c:auto val="1"/>
        <c:lblAlgn val="ctr"/>
        <c:lblOffset val="100"/>
        <c:noMultiLvlLbl val="0"/>
      </c:catAx>
      <c:valAx>
        <c:axId val="16197617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Average</a:t>
                </a:r>
                <a:r>
                  <a:rPr lang="en-US" sz="1100" baseline="0"/>
                  <a:t> Weighted Selling Price</a:t>
                </a:r>
              </a:p>
            </c:rich>
          </c:tx>
          <c:layout>
            <c:manualLayout>
              <c:xMode val="edge"/>
              <c:yMode val="edge"/>
              <c:x val="1.0044312289532443E-2"/>
              <c:y val="0.2980164188336242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619772992"/>
        <c:crosses val="autoZero"/>
        <c:crossBetween val="between"/>
      </c:valAx>
      <c:valAx>
        <c:axId val="1486194528"/>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Purchasing Intent</a:t>
                </a:r>
              </a:p>
            </c:rich>
          </c:tx>
          <c:layout>
            <c:manualLayout>
              <c:xMode val="edge"/>
              <c:yMode val="edge"/>
              <c:x val="0.96282760836092773"/>
              <c:y val="0.360976258064686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86194944"/>
        <c:crosses val="max"/>
        <c:crossBetween val="between"/>
      </c:valAx>
      <c:catAx>
        <c:axId val="1486194944"/>
        <c:scaling>
          <c:orientation val="minMax"/>
        </c:scaling>
        <c:delete val="1"/>
        <c:axPos val="b"/>
        <c:majorTickMark val="out"/>
        <c:minorTickMark val="none"/>
        <c:tickLblPos val="nextTo"/>
        <c:crossAx val="148619452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b="1"/>
              <a:t>Expected Breakeven in Year 4</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'FE Income Statement Graphs'!$C$132</c:f>
              <c:strCache>
                <c:ptCount val="1"/>
                <c:pt idx="0">
                  <c:v>Accumulated Revenue</c:v>
                </c:pt>
              </c:strCache>
            </c:strRef>
          </c:tx>
          <c:spPr>
            <a:ln w="28575" cap="rnd">
              <a:solidFill>
                <a:schemeClr val="accent1"/>
              </a:solidFill>
              <a:round/>
            </a:ln>
            <a:effectLst/>
          </c:spPr>
          <c:marker>
            <c:symbol val="none"/>
          </c:marker>
          <c:cat>
            <c:numRef>
              <c:f>'FE Income Statement Graphs'!$B$133:$B$138</c:f>
              <c:numCache>
                <c:formatCode>General</c:formatCode>
                <c:ptCount val="6"/>
                <c:pt idx="0">
                  <c:v>0</c:v>
                </c:pt>
                <c:pt idx="1">
                  <c:v>1</c:v>
                </c:pt>
                <c:pt idx="2">
                  <c:v>2</c:v>
                </c:pt>
                <c:pt idx="3">
                  <c:v>3</c:v>
                </c:pt>
                <c:pt idx="4">
                  <c:v>4</c:v>
                </c:pt>
                <c:pt idx="5">
                  <c:v>5</c:v>
                </c:pt>
              </c:numCache>
            </c:numRef>
          </c:cat>
          <c:val>
            <c:numRef>
              <c:f>'FE Income Statement Graphs'!$C$133:$C$138</c:f>
              <c:numCache>
                <c:formatCode>"$"#,##0</c:formatCode>
                <c:ptCount val="6"/>
                <c:pt idx="0">
                  <c:v>0</c:v>
                </c:pt>
                <c:pt idx="1">
                  <c:v>673694.10357142857</c:v>
                </c:pt>
                <c:pt idx="2">
                  <c:v>1999159.9182773111</c:v>
                </c:pt>
                <c:pt idx="3">
                  <c:v>5291843.9388453718</c:v>
                </c:pt>
                <c:pt idx="4">
                  <c:v>10791840.997622885</c:v>
                </c:pt>
                <c:pt idx="5">
                  <c:v>18327833.132682811</c:v>
                </c:pt>
              </c:numCache>
            </c:numRef>
          </c:val>
          <c:smooth val="0"/>
          <c:extLst>
            <c:ext xmlns:c16="http://schemas.microsoft.com/office/drawing/2014/chart" uri="{C3380CC4-5D6E-409C-BE32-E72D297353CC}">
              <c16:uniqueId val="{00000000-0A24-4C68-A126-96104CD58A6E}"/>
            </c:ext>
          </c:extLst>
        </c:ser>
        <c:ser>
          <c:idx val="1"/>
          <c:order val="1"/>
          <c:tx>
            <c:strRef>
              <c:f>'FE Income Statement Graphs'!$D$132</c:f>
              <c:strCache>
                <c:ptCount val="1"/>
                <c:pt idx="0">
                  <c:v>Accumulated Total Cost</c:v>
                </c:pt>
              </c:strCache>
            </c:strRef>
          </c:tx>
          <c:spPr>
            <a:ln w="28575" cap="rnd">
              <a:solidFill>
                <a:schemeClr val="bg1">
                  <a:lumMod val="65000"/>
                </a:schemeClr>
              </a:solidFill>
              <a:round/>
            </a:ln>
            <a:effectLst/>
          </c:spPr>
          <c:marker>
            <c:symbol val="none"/>
          </c:marker>
          <c:cat>
            <c:numRef>
              <c:f>'FE Income Statement Graphs'!$B$133:$B$138</c:f>
              <c:numCache>
                <c:formatCode>General</c:formatCode>
                <c:ptCount val="6"/>
                <c:pt idx="0">
                  <c:v>0</c:v>
                </c:pt>
                <c:pt idx="1">
                  <c:v>1</c:v>
                </c:pt>
                <c:pt idx="2">
                  <c:v>2</c:v>
                </c:pt>
                <c:pt idx="3">
                  <c:v>3</c:v>
                </c:pt>
                <c:pt idx="4">
                  <c:v>4</c:v>
                </c:pt>
                <c:pt idx="5">
                  <c:v>5</c:v>
                </c:pt>
              </c:numCache>
            </c:numRef>
          </c:cat>
          <c:val>
            <c:numRef>
              <c:f>'FE Income Statement Graphs'!$D$133:$D$138</c:f>
              <c:numCache>
                <c:formatCode>"$"#,##0</c:formatCode>
                <c:ptCount val="6"/>
                <c:pt idx="0">
                  <c:v>611717.91560000018</c:v>
                </c:pt>
                <c:pt idx="1">
                  <c:v>1734703.119284285</c:v>
                </c:pt>
                <c:pt idx="2">
                  <c:v>3214545.9224235257</c:v>
                </c:pt>
                <c:pt idx="3">
                  <c:v>6048286.6217781715</c:v>
                </c:pt>
                <c:pt idx="4">
                  <c:v>10309790.383619741</c:v>
                </c:pt>
                <c:pt idx="5">
                  <c:v>15972078.24840726</c:v>
                </c:pt>
              </c:numCache>
            </c:numRef>
          </c:val>
          <c:smooth val="0"/>
          <c:extLst>
            <c:ext xmlns:c16="http://schemas.microsoft.com/office/drawing/2014/chart" uri="{C3380CC4-5D6E-409C-BE32-E72D297353CC}">
              <c16:uniqueId val="{00000001-0A24-4C68-A126-96104CD58A6E}"/>
            </c:ext>
          </c:extLst>
        </c:ser>
        <c:dLbls>
          <c:showLegendKey val="0"/>
          <c:showVal val="0"/>
          <c:showCatName val="0"/>
          <c:showSerName val="0"/>
          <c:showPercent val="0"/>
          <c:showBubbleSize val="0"/>
        </c:dLbls>
        <c:smooth val="0"/>
        <c:axId val="1552434640"/>
        <c:axId val="1046976560"/>
      </c:lineChart>
      <c:catAx>
        <c:axId val="1552434640"/>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Year</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046976560"/>
        <c:crosses val="autoZero"/>
        <c:auto val="1"/>
        <c:lblAlgn val="ctr"/>
        <c:lblOffset val="100"/>
        <c:noMultiLvlLbl val="0"/>
      </c:catAx>
      <c:valAx>
        <c:axId val="10469765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 Amount</a:t>
                </a:r>
              </a:p>
            </c:rich>
          </c:tx>
          <c:layout>
            <c:manualLayout>
              <c:xMode val="edge"/>
              <c:yMode val="edge"/>
              <c:x val="1.1839554459852956E-2"/>
              <c:y val="0.4066943092084962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55243464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t>Investor Payback in</a:t>
            </a:r>
            <a:r>
              <a:rPr lang="en-US" sz="1600" b="1" baseline="0"/>
              <a:t> 6 Years</a:t>
            </a:r>
            <a:endParaRPr lang="en-US"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'FE Income Statement Graphs'!$D$174</c:f>
              <c:strCache>
                <c:ptCount val="1"/>
                <c:pt idx="0">
                  <c:v>Cumulative Cash Flow</c:v>
                </c:pt>
              </c:strCache>
            </c:strRef>
          </c:tx>
          <c:spPr>
            <a:ln w="28575" cap="rnd">
              <a:solidFill>
                <a:schemeClr val="accent1"/>
              </a:solidFill>
              <a:round/>
            </a:ln>
            <a:effectLst/>
          </c:spPr>
          <c:marker>
            <c:symbol val="none"/>
          </c:marker>
          <c:cat>
            <c:numRef>
              <c:f>'FE Income Statement Graphs'!$B$175:$B$181</c:f>
              <c:numCache>
                <c:formatCode>General</c:formatCode>
                <c:ptCount val="7"/>
                <c:pt idx="0">
                  <c:v>0</c:v>
                </c:pt>
                <c:pt idx="1">
                  <c:v>1</c:v>
                </c:pt>
                <c:pt idx="2">
                  <c:v>2</c:v>
                </c:pt>
                <c:pt idx="3">
                  <c:v>3</c:v>
                </c:pt>
                <c:pt idx="4">
                  <c:v>4</c:v>
                </c:pt>
                <c:pt idx="5">
                  <c:v>5</c:v>
                </c:pt>
                <c:pt idx="6">
                  <c:v>6</c:v>
                </c:pt>
              </c:numCache>
            </c:numRef>
          </c:cat>
          <c:val>
            <c:numRef>
              <c:f>'FE Income Statement Graphs'!$D$175:$D$181</c:f>
              <c:numCache>
                <c:formatCode>"$"#,##0</c:formatCode>
                <c:ptCount val="7"/>
                <c:pt idx="0">
                  <c:v>-644577.80295170227</c:v>
                </c:pt>
                <c:pt idx="1">
                  <c:v>-1233352.696346923</c:v>
                </c:pt>
                <c:pt idx="2">
                  <c:v>-1534237.8935464716</c:v>
                </c:pt>
                <c:pt idx="3">
                  <c:v>-1537087.5115854421</c:v>
                </c:pt>
                <c:pt idx="4">
                  <c:v>-988648.85885920061</c:v>
                </c:pt>
                <c:pt idx="5">
                  <c:v>-90434.241426908993</c:v>
                </c:pt>
                <c:pt idx="6">
                  <c:v>879637.54539996607</c:v>
                </c:pt>
              </c:numCache>
            </c:numRef>
          </c:val>
          <c:smooth val="0"/>
          <c:extLst>
            <c:ext xmlns:c16="http://schemas.microsoft.com/office/drawing/2014/chart" uri="{C3380CC4-5D6E-409C-BE32-E72D297353CC}">
              <c16:uniqueId val="{00000000-A6D2-4559-A57D-1D40DABF96AC}"/>
            </c:ext>
          </c:extLst>
        </c:ser>
        <c:dLbls>
          <c:showLegendKey val="0"/>
          <c:showVal val="0"/>
          <c:showCatName val="0"/>
          <c:showSerName val="0"/>
          <c:showPercent val="0"/>
          <c:showBubbleSize val="0"/>
        </c:dLbls>
        <c:smooth val="0"/>
        <c:axId val="1552439216"/>
        <c:axId val="1552432560"/>
      </c:lineChart>
      <c:catAx>
        <c:axId val="1552439216"/>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Year</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552432560"/>
        <c:crosses val="autoZero"/>
        <c:auto val="1"/>
        <c:lblAlgn val="ctr"/>
        <c:lblOffset val="100"/>
        <c:noMultiLvlLbl val="0"/>
      </c:catAx>
      <c:valAx>
        <c:axId val="15524325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Cash Flow</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552439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Times" pitchFamily="2" charset="0"/>
                <a:ea typeface="+mn-ea"/>
                <a:cs typeface="+mn-cs"/>
              </a:defRPr>
            </a:pPr>
            <a:r>
              <a:rPr lang="en-US" sz="2000">
                <a:latin typeface="Times New Roman" panose="02020603050405020304" pitchFamily="18" charset="0"/>
                <a:cs typeface="Times New Roman" panose="02020603050405020304" pitchFamily="18" charset="0"/>
              </a:rPr>
              <a:t>Takt</a:t>
            </a:r>
            <a:r>
              <a:rPr lang="en-US" sz="2000" baseline="0">
                <a:latin typeface="Times New Roman" panose="02020603050405020304" pitchFamily="18" charset="0"/>
                <a:cs typeface="Times New Roman" panose="02020603050405020304" pitchFamily="18" charset="0"/>
              </a:rPr>
              <a:t> Times vs Process Design Year 1-5</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Times" pitchFamily="2" charset="0"/>
              <a:ea typeface="+mn-ea"/>
              <a:cs typeface="+mn-cs"/>
            </a:defRPr>
          </a:pPr>
          <a:endParaRPr lang="en-US"/>
        </a:p>
      </c:txPr>
    </c:title>
    <c:autoTitleDeleted val="0"/>
    <c:plotArea>
      <c:layout/>
      <c:lineChart>
        <c:grouping val="standard"/>
        <c:varyColors val="0"/>
        <c:ser>
          <c:idx val="0"/>
          <c:order val="0"/>
          <c:tx>
            <c:v>Takt Time</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Capacity!$I$87:$M$87</c:f>
              <c:numCache>
                <c:formatCode>0.00</c:formatCode>
                <c:ptCount val="5"/>
                <c:pt idx="0">
                  <c:v>9.0646477165331643</c:v>
                </c:pt>
                <c:pt idx="1">
                  <c:v>4.6266866321046756</c:v>
                </c:pt>
                <c:pt idx="2">
                  <c:v>1.7562873256793359</c:v>
                </c:pt>
                <c:pt idx="3">
                  <c:v>1.0234579261159653</c:v>
                </c:pt>
                <c:pt idx="4">
                  <c:v>0.73542181382137983</c:v>
                </c:pt>
              </c:numCache>
            </c:numRef>
          </c:val>
          <c:smooth val="0"/>
          <c:extLst>
            <c:ext xmlns:c16="http://schemas.microsoft.com/office/drawing/2014/chart" uri="{C3380CC4-5D6E-409C-BE32-E72D297353CC}">
              <c16:uniqueId val="{00000000-89F4-E743-91AD-147ED41F9902}"/>
            </c:ext>
          </c:extLst>
        </c:ser>
        <c:ser>
          <c:idx val="1"/>
          <c:order val="1"/>
          <c:tx>
            <c:v>Cycle Time</c:v>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Capacity!$I$88:$M$88</c:f>
              <c:numCache>
                <c:formatCode>0.00</c:formatCode>
                <c:ptCount val="5"/>
                <c:pt idx="0">
                  <c:v>6.9499999999999993</c:v>
                </c:pt>
                <c:pt idx="1">
                  <c:v>4.05</c:v>
                </c:pt>
                <c:pt idx="2">
                  <c:v>1.45</c:v>
                </c:pt>
                <c:pt idx="3">
                  <c:v>0.72499999999999998</c:v>
                </c:pt>
                <c:pt idx="4">
                  <c:v>0.72499999999999998</c:v>
                </c:pt>
              </c:numCache>
            </c:numRef>
          </c:val>
          <c:smooth val="0"/>
          <c:extLst>
            <c:ext xmlns:c16="http://schemas.microsoft.com/office/drawing/2014/chart" uri="{C3380CC4-5D6E-409C-BE32-E72D297353CC}">
              <c16:uniqueId val="{00000001-89F4-E743-91AD-147ED41F9902}"/>
            </c:ext>
          </c:extLst>
        </c:ser>
        <c:dLbls>
          <c:showLegendKey val="0"/>
          <c:showVal val="0"/>
          <c:showCatName val="0"/>
          <c:showSerName val="0"/>
          <c:showPercent val="0"/>
          <c:showBubbleSize val="0"/>
        </c:dLbls>
        <c:marker val="1"/>
        <c:smooth val="0"/>
        <c:axId val="1631912623"/>
        <c:axId val="631871840"/>
      </c:lineChart>
      <c:catAx>
        <c:axId val="1631912623"/>
        <c:scaling>
          <c:orientation val="minMax"/>
        </c:scaling>
        <c:delete val="0"/>
        <c:axPos val="b"/>
        <c:title>
          <c:tx>
            <c:rich>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2000">
                    <a:latin typeface="Times New Roman" panose="02020603050405020304" pitchFamily="18" charset="0"/>
                    <a:cs typeface="Times New Roman" panose="02020603050405020304" pitchFamily="18" charset="0"/>
                  </a:rPr>
                  <a:t>Years</a:t>
                </a:r>
              </a:p>
            </c:rich>
          </c:tx>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31871840"/>
        <c:crosses val="autoZero"/>
        <c:auto val="1"/>
        <c:lblAlgn val="ctr"/>
        <c:lblOffset val="100"/>
        <c:noMultiLvlLbl val="0"/>
      </c:catAx>
      <c:valAx>
        <c:axId val="6318718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Times" pitchFamily="2" charset="0"/>
                    <a:ea typeface="+mn-ea"/>
                    <a:cs typeface="+mn-cs"/>
                  </a:defRPr>
                </a:pPr>
                <a:r>
                  <a:rPr lang="en-US" sz="1800">
                    <a:latin typeface="Times New Roman" panose="02020603050405020304" pitchFamily="18" charset="0"/>
                    <a:cs typeface="Times New Roman" panose="02020603050405020304" pitchFamily="18" charset="0"/>
                  </a:rPr>
                  <a:t>Time</a:t>
                </a:r>
                <a:r>
                  <a:rPr lang="en-US" sz="1800" baseline="0">
                    <a:latin typeface="Times New Roman" panose="02020603050405020304" pitchFamily="18" charset="0"/>
                    <a:cs typeface="Times New Roman" panose="02020603050405020304" pitchFamily="18" charset="0"/>
                  </a:rPr>
                  <a:t> in Minutes</a:t>
                </a:r>
                <a:endParaRPr lang="en-US" sz="1800">
                  <a:latin typeface="Times New Roman" panose="02020603050405020304" pitchFamily="18" charset="0"/>
                  <a:cs typeface="Times New Roman" panose="02020603050405020304" pitchFamily="18" charset="0"/>
                </a:endParaRPr>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Times" pitchFamily="2" charset="0"/>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63191262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Increase in Purchase Intent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'MK Bases Model (Base Case)'!$C$9:$G$9</c:f>
              <c:numCache>
                <c:formatCode>0.00%</c:formatCode>
                <c:ptCount val="5"/>
                <c:pt idx="0">
                  <c:v>0.16374844537815125</c:v>
                </c:pt>
                <c:pt idx="1">
                  <c:v>0.16017037815126051</c:v>
                </c:pt>
                <c:pt idx="2">
                  <c:v>0.16314838118684324</c:v>
                </c:pt>
                <c:pt idx="3">
                  <c:v>0.17918143243969031</c:v>
                </c:pt>
                <c:pt idx="4">
                  <c:v>0.18150746686131858</c:v>
                </c:pt>
              </c:numCache>
            </c:numRef>
          </c:val>
          <c:smooth val="0"/>
          <c:extLst>
            <c:ext xmlns:c16="http://schemas.microsoft.com/office/drawing/2014/chart" uri="{C3380CC4-5D6E-409C-BE32-E72D297353CC}">
              <c16:uniqueId val="{00000000-7AFB-3A43-B1A4-69F81EBCA36C}"/>
            </c:ext>
          </c:extLst>
        </c:ser>
        <c:dLbls>
          <c:showLegendKey val="0"/>
          <c:showVal val="0"/>
          <c:showCatName val="0"/>
          <c:showSerName val="0"/>
          <c:showPercent val="0"/>
          <c:showBubbleSize val="0"/>
        </c:dLbls>
        <c:smooth val="0"/>
        <c:axId val="1782244416"/>
        <c:axId val="1782246064"/>
      </c:lineChart>
      <c:catAx>
        <c:axId val="17822444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2246064"/>
        <c:crosses val="autoZero"/>
        <c:auto val="1"/>
        <c:lblAlgn val="ctr"/>
        <c:lblOffset val="100"/>
        <c:noMultiLvlLbl val="0"/>
      </c:catAx>
      <c:valAx>
        <c:axId val="17822460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Purchase Intent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22444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Demand Curve (Linear)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'MK Purchase Intent and Price'!$N$18</c:f>
              <c:strCache>
                <c:ptCount val="1"/>
                <c:pt idx="0">
                  <c:v>Cumulative PI</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1.343249676705161E-2"/>
                  <c:y val="-0.3749825205764003"/>
                </c:manualLayout>
              </c:layout>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1400" baseline="0"/>
                      <a:t>y = -0.0019x + 0.313</a:t>
                    </a:r>
                    <a:endParaRPr lang="en-US" sz="1400"/>
                  </a:p>
                </c:rich>
              </c:tx>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'MK Purchase Intent and Price'!$M$19:$M$23</c:f>
              <c:numCache>
                <c:formatCode>_("$"* #,##0.00_);_("$"* \(#,##0.00\);_("$"* "-"??_);_(@_)</c:formatCode>
                <c:ptCount val="5"/>
                <c:pt idx="0">
                  <c:v>72.5</c:v>
                </c:pt>
                <c:pt idx="1">
                  <c:v>95.5</c:v>
                </c:pt>
                <c:pt idx="2">
                  <c:v>118.5</c:v>
                </c:pt>
                <c:pt idx="3">
                  <c:v>141.5</c:v>
                </c:pt>
                <c:pt idx="4">
                  <c:v>164.5</c:v>
                </c:pt>
              </c:numCache>
            </c:numRef>
          </c:xVal>
          <c:yVal>
            <c:numRef>
              <c:f>'MK Purchase Intent and Price'!$N$19:$N$23</c:f>
              <c:numCache>
                <c:formatCode>0.00%</c:formatCode>
                <c:ptCount val="5"/>
                <c:pt idx="0">
                  <c:v>0.20081967213114754</c:v>
                </c:pt>
                <c:pt idx="1">
                  <c:v>0.11311475409836065</c:v>
                </c:pt>
                <c:pt idx="2">
                  <c:v>5.5737704918032788E-2</c:v>
                </c:pt>
                <c:pt idx="3">
                  <c:v>3.1147540983606559E-2</c:v>
                </c:pt>
                <c:pt idx="4">
                  <c:v>1.9672131147540985E-2</c:v>
                </c:pt>
              </c:numCache>
            </c:numRef>
          </c:yVal>
          <c:smooth val="1"/>
          <c:extLst>
            <c:ext xmlns:c16="http://schemas.microsoft.com/office/drawing/2014/chart" uri="{C3380CC4-5D6E-409C-BE32-E72D297353CC}">
              <c16:uniqueId val="{00000000-86E8-9F4B-A979-9913FD981324}"/>
            </c:ext>
          </c:extLst>
        </c:ser>
        <c:dLbls>
          <c:showLegendKey val="0"/>
          <c:showVal val="0"/>
          <c:showCatName val="0"/>
          <c:showSerName val="0"/>
          <c:showPercent val="0"/>
          <c:showBubbleSize val="0"/>
        </c:dLbls>
        <c:axId val="1972866896"/>
        <c:axId val="1669358448"/>
      </c:scatterChart>
      <c:valAx>
        <c:axId val="19728668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Price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quot;$&quot;* #,##0.00_);_(&quot;$&quot;* \(#,##0.0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9358448"/>
        <c:crosses val="autoZero"/>
        <c:crossBetween val="midCat"/>
      </c:valAx>
      <c:valAx>
        <c:axId val="1669358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Purchase Intent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28668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Demand Curve (Polynomial)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'MK Purchase Intent and Price'!$N$18</c:f>
              <c:strCache>
                <c:ptCount val="1"/>
                <c:pt idx="0">
                  <c:v>Cumulative PI</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6.4027767998402096E-2"/>
                  <c:y val="-0.42146488929752407"/>
                </c:manualLayout>
              </c:layout>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1400" baseline="0"/>
                      <a:t>y = 3E-05x</a:t>
                    </a:r>
                    <a:r>
                      <a:rPr lang="en-US" sz="1400" baseline="30000"/>
                      <a:t>2</a:t>
                    </a:r>
                    <a:r>
                      <a:rPr lang="en-US" sz="1400" baseline="0"/>
                      <a:t> - 0.0079x + 0.6378</a:t>
                    </a:r>
                    <a:br>
                      <a:rPr lang="en-US" sz="1400" baseline="0"/>
                    </a:br>
                    <a:r>
                      <a:rPr lang="en-US" sz="1400" baseline="0"/>
                      <a:t>R² = 0.9984</a:t>
                    </a:r>
                    <a:endParaRPr lang="en-US" sz="1400"/>
                  </a:p>
                </c:rich>
              </c:tx>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'MK Purchase Intent and Price'!$M$19:$M$23</c:f>
              <c:numCache>
                <c:formatCode>_("$"* #,##0.00_);_("$"* \(#,##0.00\);_("$"* "-"??_);_(@_)</c:formatCode>
                <c:ptCount val="5"/>
                <c:pt idx="0">
                  <c:v>72.5</c:v>
                </c:pt>
                <c:pt idx="1">
                  <c:v>95.5</c:v>
                </c:pt>
                <c:pt idx="2">
                  <c:v>118.5</c:v>
                </c:pt>
                <c:pt idx="3">
                  <c:v>141.5</c:v>
                </c:pt>
                <c:pt idx="4">
                  <c:v>164.5</c:v>
                </c:pt>
              </c:numCache>
            </c:numRef>
          </c:xVal>
          <c:yVal>
            <c:numRef>
              <c:f>'MK Purchase Intent and Price'!$N$19:$N$23</c:f>
              <c:numCache>
                <c:formatCode>0.00%</c:formatCode>
                <c:ptCount val="5"/>
                <c:pt idx="0">
                  <c:v>0.20081967213114754</c:v>
                </c:pt>
                <c:pt idx="1">
                  <c:v>0.11311475409836065</c:v>
                </c:pt>
                <c:pt idx="2">
                  <c:v>5.5737704918032788E-2</c:v>
                </c:pt>
                <c:pt idx="3">
                  <c:v>3.1147540983606559E-2</c:v>
                </c:pt>
                <c:pt idx="4">
                  <c:v>1.9672131147540985E-2</c:v>
                </c:pt>
              </c:numCache>
            </c:numRef>
          </c:yVal>
          <c:smooth val="1"/>
          <c:extLst>
            <c:ext xmlns:c16="http://schemas.microsoft.com/office/drawing/2014/chart" uri="{C3380CC4-5D6E-409C-BE32-E72D297353CC}">
              <c16:uniqueId val="{00000000-C162-7646-B03F-4872A6EF57F5}"/>
            </c:ext>
          </c:extLst>
        </c:ser>
        <c:dLbls>
          <c:showLegendKey val="0"/>
          <c:showVal val="0"/>
          <c:showCatName val="0"/>
          <c:showSerName val="0"/>
          <c:showPercent val="0"/>
          <c:showBubbleSize val="0"/>
        </c:dLbls>
        <c:axId val="1594371568"/>
        <c:axId val="1594460608"/>
      </c:scatterChart>
      <c:valAx>
        <c:axId val="159437156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Price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quot;$&quot;* #,##0.00_);_(&quot;$&quot;* \(#,##0.0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4460608"/>
        <c:crosses val="autoZero"/>
        <c:crossBetween val="midCat"/>
      </c:valAx>
      <c:valAx>
        <c:axId val="15944606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Purchase Intent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437156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10</xdr:col>
      <xdr:colOff>4873</xdr:colOff>
      <xdr:row>22</xdr:row>
      <xdr:rowOff>21117</xdr:rowOff>
    </xdr:from>
    <xdr:to>
      <xdr:col>18</xdr:col>
      <xdr:colOff>241078</xdr:colOff>
      <xdr:row>38</xdr:row>
      <xdr:rowOff>71622</xdr:rowOff>
    </xdr:to>
    <xdr:graphicFrame macro="">
      <xdr:nvGraphicFramePr>
        <xdr:cNvPr id="67" name="Chart 1">
          <a:extLst>
            <a:ext uri="{FF2B5EF4-FFF2-40B4-BE49-F238E27FC236}">
              <a16:creationId xmlns:a16="http://schemas.microsoft.com/office/drawing/2014/main" id="{65ECCADE-9392-4B0C-B4F5-6867413DDE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566952</xdr:colOff>
      <xdr:row>5</xdr:row>
      <xdr:rowOff>136071</xdr:rowOff>
    </xdr:from>
    <xdr:to>
      <xdr:col>16</xdr:col>
      <xdr:colOff>405180</xdr:colOff>
      <xdr:row>24</xdr:row>
      <xdr:rowOff>40820</xdr:rowOff>
    </xdr:to>
    <xdr:graphicFrame macro="">
      <xdr:nvGraphicFramePr>
        <xdr:cNvPr id="18" name="Chart 2">
          <a:extLst>
            <a:ext uri="{FF2B5EF4-FFF2-40B4-BE49-F238E27FC236}">
              <a16:creationId xmlns:a16="http://schemas.microsoft.com/office/drawing/2014/main" id="{0B417DD6-B183-4678-96DC-79559E986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499053</xdr:colOff>
      <xdr:row>0</xdr:row>
      <xdr:rowOff>111267</xdr:rowOff>
    </xdr:from>
    <xdr:to>
      <xdr:col>18</xdr:col>
      <xdr:colOff>1191</xdr:colOff>
      <xdr:row>29</xdr:row>
      <xdr:rowOff>3427</xdr:rowOff>
    </xdr:to>
    <xdr:graphicFrame macro="">
      <xdr:nvGraphicFramePr>
        <xdr:cNvPr id="38" name="Chart 7">
          <a:extLst>
            <a:ext uri="{FF2B5EF4-FFF2-40B4-BE49-F238E27FC236}">
              <a16:creationId xmlns:a16="http://schemas.microsoft.com/office/drawing/2014/main" id="{9A3B724C-4D5E-4C06-ADFA-1B5172E5F9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371474</xdr:colOff>
      <xdr:row>31</xdr:row>
      <xdr:rowOff>122901</xdr:rowOff>
    </xdr:from>
    <xdr:to>
      <xdr:col>24</xdr:col>
      <xdr:colOff>447165</xdr:colOff>
      <xdr:row>70</xdr:row>
      <xdr:rowOff>47762</xdr:rowOff>
    </xdr:to>
    <xdr:graphicFrame macro="">
      <xdr:nvGraphicFramePr>
        <xdr:cNvPr id="30" name="Chart 9">
          <a:extLst>
            <a:ext uri="{FF2B5EF4-FFF2-40B4-BE49-F238E27FC236}">
              <a16:creationId xmlns:a16="http://schemas.microsoft.com/office/drawing/2014/main" id="{72255284-CB76-418B-BBDE-F68CF808B6ED}"/>
            </a:ext>
            <a:ext uri="{147F2762-F138-4A5C-976F-8EAC2B608ADB}">
              <a16:predDERef xmlns:a16="http://schemas.microsoft.com/office/drawing/2014/main" pred="{9A3B724C-4D5E-4C06-ADFA-1B5172E5F9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287276</xdr:colOff>
      <xdr:row>89</xdr:row>
      <xdr:rowOff>136133</xdr:rowOff>
    </xdr:from>
    <xdr:to>
      <xdr:col>19</xdr:col>
      <xdr:colOff>393624</xdr:colOff>
      <xdr:row>127</xdr:row>
      <xdr:rowOff>118951</xdr:rowOff>
    </xdr:to>
    <xdr:graphicFrame macro="">
      <xdr:nvGraphicFramePr>
        <xdr:cNvPr id="42" name="Chart 14">
          <a:extLst>
            <a:ext uri="{FF2B5EF4-FFF2-40B4-BE49-F238E27FC236}">
              <a16:creationId xmlns:a16="http://schemas.microsoft.com/office/drawing/2014/main" id="{AC4DD9B6-FE3B-4CBA-9E51-FCADDF57733D}"/>
            </a:ext>
            <a:ext uri="{147F2762-F138-4A5C-976F-8EAC2B608ADB}">
              <a16:predDERef xmlns:a16="http://schemas.microsoft.com/office/drawing/2014/main" pred="{72255284-CB76-418B-BBDE-F68CF808B6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8883</xdr:colOff>
      <xdr:row>131</xdr:row>
      <xdr:rowOff>102662</xdr:rowOff>
    </xdr:from>
    <xdr:to>
      <xdr:col>18</xdr:col>
      <xdr:colOff>208287</xdr:colOff>
      <xdr:row>168</xdr:row>
      <xdr:rowOff>94304</xdr:rowOff>
    </xdr:to>
    <xdr:grpSp>
      <xdr:nvGrpSpPr>
        <xdr:cNvPr id="9" name="Group 8">
          <a:extLst>
            <a:ext uri="{FF2B5EF4-FFF2-40B4-BE49-F238E27FC236}">
              <a16:creationId xmlns:a16="http://schemas.microsoft.com/office/drawing/2014/main" id="{B34181C3-A9D4-4534-BD6F-CCEF20D0F1A9}"/>
            </a:ext>
          </a:extLst>
        </xdr:cNvPr>
        <xdr:cNvGrpSpPr/>
      </xdr:nvGrpSpPr>
      <xdr:grpSpPr>
        <a:xfrm>
          <a:off x="7476483" y="20308362"/>
          <a:ext cx="9445004" cy="5630442"/>
          <a:chOff x="6864534" y="18821272"/>
          <a:chExt cx="8575056" cy="5201403"/>
        </a:xfrm>
      </xdr:grpSpPr>
      <xdr:graphicFrame macro="">
        <xdr:nvGraphicFramePr>
          <xdr:cNvPr id="4" name="Chart 3">
            <a:extLst>
              <a:ext uri="{FF2B5EF4-FFF2-40B4-BE49-F238E27FC236}">
                <a16:creationId xmlns:a16="http://schemas.microsoft.com/office/drawing/2014/main" id="{614F47FD-2669-40E3-902A-C27C06C4ED49}"/>
              </a:ext>
            </a:extLst>
          </xdr:cNvPr>
          <xdr:cNvGraphicFramePr/>
        </xdr:nvGraphicFramePr>
        <xdr:xfrm>
          <a:off x="6864534" y="18821272"/>
          <a:ext cx="8575056" cy="5201403"/>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5" name="Oval 4">
            <a:extLst>
              <a:ext uri="{FF2B5EF4-FFF2-40B4-BE49-F238E27FC236}">
                <a16:creationId xmlns:a16="http://schemas.microsoft.com/office/drawing/2014/main" id="{781C55A3-B912-45F0-8182-AB1C93145377}"/>
              </a:ext>
            </a:extLst>
          </xdr:cNvPr>
          <xdr:cNvSpPr/>
        </xdr:nvSpPr>
        <xdr:spPr>
          <a:xfrm>
            <a:off x="13143572" y="21452550"/>
            <a:ext cx="95250" cy="9318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 name="Straight Arrow Connector 6">
            <a:extLst>
              <a:ext uri="{FF2B5EF4-FFF2-40B4-BE49-F238E27FC236}">
                <a16:creationId xmlns:a16="http://schemas.microsoft.com/office/drawing/2014/main" id="{95C1F97E-86C9-4B25-A530-365592B8F578}"/>
              </a:ext>
            </a:extLst>
          </xdr:cNvPr>
          <xdr:cNvCxnSpPr/>
        </xdr:nvCxnSpPr>
        <xdr:spPr>
          <a:xfrm>
            <a:off x="12660647" y="21060137"/>
            <a:ext cx="455006" cy="38321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8" name="TextBox 7">
            <a:extLst>
              <a:ext uri="{FF2B5EF4-FFF2-40B4-BE49-F238E27FC236}">
                <a16:creationId xmlns:a16="http://schemas.microsoft.com/office/drawing/2014/main" id="{5B79A0B0-803F-46A9-BA1C-7C410F53384C}"/>
              </a:ext>
            </a:extLst>
          </xdr:cNvPr>
          <xdr:cNvSpPr txBox="1"/>
        </xdr:nvSpPr>
        <xdr:spPr>
          <a:xfrm>
            <a:off x="11965197" y="20636400"/>
            <a:ext cx="1002195" cy="442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ysClr val="windowText" lastClr="000000"/>
                </a:solidFill>
              </a:rPr>
              <a:t>Break-even</a:t>
            </a:r>
            <a:r>
              <a:rPr lang="en-US" sz="1100" b="1" baseline="0">
                <a:solidFill>
                  <a:sysClr val="windowText" lastClr="000000"/>
                </a:solidFill>
              </a:rPr>
              <a:t> Point</a:t>
            </a:r>
            <a:endParaRPr lang="en-US" sz="1100" b="1">
              <a:solidFill>
                <a:sysClr val="windowText" lastClr="000000"/>
              </a:solidFill>
            </a:endParaRPr>
          </a:p>
        </xdr:txBody>
      </xdr:sp>
    </xdr:grpSp>
    <xdr:clientData/>
  </xdr:twoCellAnchor>
  <xdr:twoCellAnchor>
    <xdr:from>
      <xdr:col>4</xdr:col>
      <xdr:colOff>542509</xdr:colOff>
      <xdr:row>171</xdr:row>
      <xdr:rowOff>135835</xdr:rowOff>
    </xdr:from>
    <xdr:to>
      <xdr:col>13</xdr:col>
      <xdr:colOff>514895</xdr:colOff>
      <xdr:row>205</xdr:row>
      <xdr:rowOff>82826</xdr:rowOff>
    </xdr:to>
    <xdr:graphicFrame macro="">
      <xdr:nvGraphicFramePr>
        <xdr:cNvPr id="79" name="Chart 10">
          <a:extLst>
            <a:ext uri="{FF2B5EF4-FFF2-40B4-BE49-F238E27FC236}">
              <a16:creationId xmlns:a16="http://schemas.microsoft.com/office/drawing/2014/main" id="{865B358D-5B1F-4076-A78F-67334401D8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878316</xdr:colOff>
      <xdr:row>40</xdr:row>
      <xdr:rowOff>179697</xdr:rowOff>
    </xdr:from>
    <xdr:to>
      <xdr:col>19</xdr:col>
      <xdr:colOff>709904</xdr:colOff>
      <xdr:row>67</xdr:row>
      <xdr:rowOff>152609</xdr:rowOff>
    </xdr:to>
    <xdr:graphicFrame macro="">
      <xdr:nvGraphicFramePr>
        <xdr:cNvPr id="13" name="Chart 2">
          <a:extLst>
            <a:ext uri="{FF2B5EF4-FFF2-40B4-BE49-F238E27FC236}">
              <a16:creationId xmlns:a16="http://schemas.microsoft.com/office/drawing/2014/main" id="{0AA88BD9-A96F-1343-8966-00161F1BAA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577155</xdr:colOff>
      <xdr:row>8</xdr:row>
      <xdr:rowOff>38326</xdr:rowOff>
    </xdr:from>
    <xdr:to>
      <xdr:col>15</xdr:col>
      <xdr:colOff>466636</xdr:colOff>
      <xdr:row>15</xdr:row>
      <xdr:rowOff>430572</xdr:rowOff>
    </xdr:to>
    <xdr:graphicFrame macro="">
      <xdr:nvGraphicFramePr>
        <xdr:cNvPr id="55" name="Chart 1">
          <a:extLst>
            <a:ext uri="{FF2B5EF4-FFF2-40B4-BE49-F238E27FC236}">
              <a16:creationId xmlns:a16="http://schemas.microsoft.com/office/drawing/2014/main" id="{1EE6D4F0-9797-FD46-B1D5-E0A0AE0644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71606</xdr:colOff>
      <xdr:row>32</xdr:row>
      <xdr:rowOff>6940</xdr:rowOff>
    </xdr:from>
    <xdr:to>
      <xdr:col>6</xdr:col>
      <xdr:colOff>1047923</xdr:colOff>
      <xdr:row>50</xdr:row>
      <xdr:rowOff>81063</xdr:rowOff>
    </xdr:to>
    <xdr:graphicFrame macro="">
      <xdr:nvGraphicFramePr>
        <xdr:cNvPr id="3" name="Chart 8">
          <a:extLst>
            <a:ext uri="{FF2B5EF4-FFF2-40B4-BE49-F238E27FC236}">
              <a16:creationId xmlns:a16="http://schemas.microsoft.com/office/drawing/2014/main" id="{BAD5FB01-9D53-1C41-9EDD-052626DEB2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1382138</xdr:colOff>
      <xdr:row>31</xdr:row>
      <xdr:rowOff>148346</xdr:rowOff>
    </xdr:from>
    <xdr:to>
      <xdr:col>11</xdr:col>
      <xdr:colOff>878191</xdr:colOff>
      <xdr:row>50</xdr:row>
      <xdr:rowOff>54042</xdr:rowOff>
    </xdr:to>
    <xdr:graphicFrame macro="">
      <xdr:nvGraphicFramePr>
        <xdr:cNvPr id="10" name="Chart 9">
          <a:extLst>
            <a:ext uri="{FF2B5EF4-FFF2-40B4-BE49-F238E27FC236}">
              <a16:creationId xmlns:a16="http://schemas.microsoft.com/office/drawing/2014/main" id="{1ECF32E4-2647-9D41-8621-98ED1763B664}"/>
            </a:ext>
            <a:ext uri="{147F2762-F138-4A5C-976F-8EAC2B608ADB}">
              <a16:predDERef xmlns:a16="http://schemas.microsoft.com/office/drawing/2014/main" pred="{BAD5FB01-9D53-1C41-9EDD-052626DEB2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53</xdr:row>
      <xdr:rowOff>7785</xdr:rowOff>
    </xdr:from>
    <xdr:to>
      <xdr:col>20</xdr:col>
      <xdr:colOff>25400</xdr:colOff>
      <xdr:row>53</xdr:row>
      <xdr:rowOff>7785</xdr:rowOff>
    </xdr:to>
    <xdr:cxnSp macro="">
      <xdr:nvCxnSpPr>
        <xdr:cNvPr id="3" name="Straight Connector 2">
          <a:extLst>
            <a:ext uri="{FF2B5EF4-FFF2-40B4-BE49-F238E27FC236}">
              <a16:creationId xmlns:a16="http://schemas.microsoft.com/office/drawing/2014/main" id="{8D38E9AE-B91A-2241-8BEB-3D4355849A20}"/>
            </a:ext>
            <a:ext uri="{147F2762-F138-4A5C-976F-8EAC2B608ADB}">
              <a16:predDERef xmlns:a16="http://schemas.microsoft.com/office/drawing/2014/main" pred="{4DBA92CD-9968-704D-BE78-5C4358A67F1E}"/>
            </a:ext>
          </a:extLst>
        </xdr:cNvPr>
        <xdr:cNvCxnSpPr/>
      </xdr:nvCxnSpPr>
      <xdr:spPr>
        <a:xfrm>
          <a:off x="495300" y="8148485"/>
          <a:ext cx="158750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50800</xdr:colOff>
      <xdr:row>12</xdr:row>
      <xdr:rowOff>179764</xdr:rowOff>
    </xdr:from>
    <xdr:to>
      <xdr:col>20</xdr:col>
      <xdr:colOff>33867</xdr:colOff>
      <xdr:row>13</xdr:row>
      <xdr:rowOff>0</xdr:rowOff>
    </xdr:to>
    <xdr:cxnSp macro="">
      <xdr:nvCxnSpPr>
        <xdr:cNvPr id="21" name="Straight Connector 3">
          <a:extLst>
            <a:ext uri="{FF2B5EF4-FFF2-40B4-BE49-F238E27FC236}">
              <a16:creationId xmlns:a16="http://schemas.microsoft.com/office/drawing/2014/main" id="{0A56C553-1F15-424D-9AFB-972F9E9A6706}"/>
            </a:ext>
            <a:ext uri="{147F2762-F138-4A5C-976F-8EAC2B608ADB}">
              <a16:predDERef xmlns:a16="http://schemas.microsoft.com/office/drawing/2014/main" pred="{48AF5445-07B5-B14B-8281-73A8E737364A}"/>
            </a:ext>
          </a:extLst>
        </xdr:cNvPr>
        <xdr:cNvCxnSpPr/>
      </xdr:nvCxnSpPr>
      <xdr:spPr>
        <a:xfrm flipV="1">
          <a:off x="50800" y="6580564"/>
          <a:ext cx="23926800" cy="650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16933</xdr:colOff>
      <xdr:row>53</xdr:row>
      <xdr:rowOff>7785</xdr:rowOff>
    </xdr:from>
    <xdr:to>
      <xdr:col>20</xdr:col>
      <xdr:colOff>25400</xdr:colOff>
      <xdr:row>53</xdr:row>
      <xdr:rowOff>16934</xdr:rowOff>
    </xdr:to>
    <xdr:cxnSp macro="">
      <xdr:nvCxnSpPr>
        <xdr:cNvPr id="22" name="Straight Connector 4">
          <a:extLst>
            <a:ext uri="{FF2B5EF4-FFF2-40B4-BE49-F238E27FC236}">
              <a16:creationId xmlns:a16="http://schemas.microsoft.com/office/drawing/2014/main" id="{896EDD25-FF6A-5744-94FE-35A62CBD6C1C}"/>
            </a:ext>
            <a:ext uri="{147F2762-F138-4A5C-976F-8EAC2B608ADB}">
              <a16:predDERef xmlns:a16="http://schemas.microsoft.com/office/drawing/2014/main" pred="{3CF43D29-2274-4D43-9298-EC0ECAD39028}"/>
            </a:ext>
          </a:extLst>
        </xdr:cNvPr>
        <xdr:cNvCxnSpPr/>
      </xdr:nvCxnSpPr>
      <xdr:spPr>
        <a:xfrm flipV="1">
          <a:off x="16933" y="13689918"/>
          <a:ext cx="23952200" cy="914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15487</xdr:colOff>
      <xdr:row>103</xdr:row>
      <xdr:rowOff>15486</xdr:rowOff>
    </xdr:from>
    <xdr:to>
      <xdr:col>20</xdr:col>
      <xdr:colOff>30976</xdr:colOff>
      <xdr:row>103</xdr:row>
      <xdr:rowOff>15486</xdr:rowOff>
    </xdr:to>
    <xdr:cxnSp macro="">
      <xdr:nvCxnSpPr>
        <xdr:cNvPr id="19" name="Straight Connector 10">
          <a:extLst>
            <a:ext uri="{FF2B5EF4-FFF2-40B4-BE49-F238E27FC236}">
              <a16:creationId xmlns:a16="http://schemas.microsoft.com/office/drawing/2014/main" id="{060EB2E6-1B26-D04E-A060-9839A8EBD393}"/>
            </a:ext>
            <a:ext uri="{147F2762-F138-4A5C-976F-8EAC2B608ADB}">
              <a16:predDERef xmlns:a16="http://schemas.microsoft.com/office/drawing/2014/main" pred="{E57B44D1-FA33-4BF8-9769-24412DAF6E55}"/>
            </a:ext>
          </a:extLst>
        </xdr:cNvPr>
        <xdr:cNvCxnSpPr/>
      </xdr:nvCxnSpPr>
      <xdr:spPr>
        <a:xfrm>
          <a:off x="15487" y="20741886"/>
          <a:ext cx="2087735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33867</xdr:colOff>
      <xdr:row>62</xdr:row>
      <xdr:rowOff>15489</xdr:rowOff>
    </xdr:from>
    <xdr:to>
      <xdr:col>20</xdr:col>
      <xdr:colOff>30976</xdr:colOff>
      <xdr:row>62</xdr:row>
      <xdr:rowOff>16933</xdr:rowOff>
    </xdr:to>
    <xdr:cxnSp macro="">
      <xdr:nvCxnSpPr>
        <xdr:cNvPr id="23" name="Straight Connector 7">
          <a:extLst>
            <a:ext uri="{FF2B5EF4-FFF2-40B4-BE49-F238E27FC236}">
              <a16:creationId xmlns:a16="http://schemas.microsoft.com/office/drawing/2014/main" id="{5B9F66B7-E2FC-5E44-B237-C41D100D5EED}"/>
            </a:ext>
            <a:ext uri="{147F2762-F138-4A5C-976F-8EAC2B608ADB}">
              <a16:predDERef xmlns:a16="http://schemas.microsoft.com/office/drawing/2014/main" pred="{16A39999-6949-FB4F-9D99-AD6F9ED9DCBC}"/>
            </a:ext>
          </a:extLst>
        </xdr:cNvPr>
        <xdr:cNvCxnSpPr/>
      </xdr:nvCxnSpPr>
      <xdr:spPr>
        <a:xfrm flipV="1">
          <a:off x="33867" y="15712689"/>
          <a:ext cx="23940842" cy="144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96</xdr:row>
      <xdr:rowOff>15488</xdr:rowOff>
    </xdr:from>
    <xdr:to>
      <xdr:col>20</xdr:col>
      <xdr:colOff>30976</xdr:colOff>
      <xdr:row>96</xdr:row>
      <xdr:rowOff>16934</xdr:rowOff>
    </xdr:to>
    <xdr:cxnSp macro="">
      <xdr:nvCxnSpPr>
        <xdr:cNvPr id="25" name="Straight Connector 10">
          <a:extLst>
            <a:ext uri="{FF2B5EF4-FFF2-40B4-BE49-F238E27FC236}">
              <a16:creationId xmlns:a16="http://schemas.microsoft.com/office/drawing/2014/main" id="{DF56C0A0-3CB7-B74F-AE3D-F8EFF3641959}"/>
            </a:ext>
            <a:ext uri="{147F2762-F138-4A5C-976F-8EAC2B608ADB}">
              <a16:predDERef xmlns:a16="http://schemas.microsoft.com/office/drawing/2014/main" pred="{E57B44D1-FA33-4BF8-9769-24412DAF6E55}"/>
            </a:ext>
          </a:extLst>
        </xdr:cNvPr>
        <xdr:cNvCxnSpPr/>
      </xdr:nvCxnSpPr>
      <xdr:spPr>
        <a:xfrm flipV="1">
          <a:off x="0" y="21673221"/>
          <a:ext cx="23974709" cy="144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16933</xdr:colOff>
      <xdr:row>113</xdr:row>
      <xdr:rowOff>15489</xdr:rowOff>
    </xdr:from>
    <xdr:to>
      <xdr:col>20</xdr:col>
      <xdr:colOff>30976</xdr:colOff>
      <xdr:row>113</xdr:row>
      <xdr:rowOff>16933</xdr:rowOff>
    </xdr:to>
    <xdr:cxnSp macro="">
      <xdr:nvCxnSpPr>
        <xdr:cNvPr id="28" name="Straight Connector 12">
          <a:extLst>
            <a:ext uri="{FF2B5EF4-FFF2-40B4-BE49-F238E27FC236}">
              <a16:creationId xmlns:a16="http://schemas.microsoft.com/office/drawing/2014/main" id="{9D28D96A-0019-4C47-B6ED-0AF07AAEE4AD}"/>
            </a:ext>
            <a:ext uri="{147F2762-F138-4A5C-976F-8EAC2B608ADB}">
              <a16:predDERef xmlns:a16="http://schemas.microsoft.com/office/drawing/2014/main" pred="{16A39999-6949-FB4F-9D99-AD6F9ED9DCBC}"/>
            </a:ext>
          </a:extLst>
        </xdr:cNvPr>
        <xdr:cNvCxnSpPr/>
      </xdr:nvCxnSpPr>
      <xdr:spPr>
        <a:xfrm flipV="1">
          <a:off x="16933" y="25144556"/>
          <a:ext cx="23957776" cy="144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33867</xdr:colOff>
      <xdr:row>153</xdr:row>
      <xdr:rowOff>15488</xdr:rowOff>
    </xdr:from>
    <xdr:to>
      <xdr:col>20</xdr:col>
      <xdr:colOff>30975</xdr:colOff>
      <xdr:row>153</xdr:row>
      <xdr:rowOff>16934</xdr:rowOff>
    </xdr:to>
    <xdr:cxnSp macro="">
      <xdr:nvCxnSpPr>
        <xdr:cNvPr id="27" name="Straight Connector 10">
          <a:extLst>
            <a:ext uri="{FF2B5EF4-FFF2-40B4-BE49-F238E27FC236}">
              <a16:creationId xmlns:a16="http://schemas.microsoft.com/office/drawing/2014/main" id="{2EB33C07-FF73-DF43-837A-89D465D01FD7}"/>
            </a:ext>
            <a:ext uri="{147F2762-F138-4A5C-976F-8EAC2B608ADB}">
              <a16:predDERef xmlns:a16="http://schemas.microsoft.com/office/drawing/2014/main" pred="{E57B44D1-FA33-4BF8-9769-24412DAF6E55}"/>
            </a:ext>
          </a:extLst>
        </xdr:cNvPr>
        <xdr:cNvCxnSpPr/>
      </xdr:nvCxnSpPr>
      <xdr:spPr>
        <a:xfrm flipV="1">
          <a:off x="33867" y="32900021"/>
          <a:ext cx="23940841" cy="144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162</xdr:row>
      <xdr:rowOff>15489</xdr:rowOff>
    </xdr:from>
    <xdr:to>
      <xdr:col>20</xdr:col>
      <xdr:colOff>30976</xdr:colOff>
      <xdr:row>162</xdr:row>
      <xdr:rowOff>16934</xdr:rowOff>
    </xdr:to>
    <xdr:cxnSp macro="">
      <xdr:nvCxnSpPr>
        <xdr:cNvPr id="26" name="Straight Connector 11">
          <a:extLst>
            <a:ext uri="{FF2B5EF4-FFF2-40B4-BE49-F238E27FC236}">
              <a16:creationId xmlns:a16="http://schemas.microsoft.com/office/drawing/2014/main" id="{680282C8-F95F-AB4F-84E9-68E7BE77CB60}"/>
            </a:ext>
            <a:ext uri="{147F2762-F138-4A5C-976F-8EAC2B608ADB}">
              <a16:predDERef xmlns:a16="http://schemas.microsoft.com/office/drawing/2014/main" pred="{16A39999-6949-FB4F-9D99-AD6F9ED9DCBC}"/>
            </a:ext>
          </a:extLst>
        </xdr:cNvPr>
        <xdr:cNvCxnSpPr/>
      </xdr:nvCxnSpPr>
      <xdr:spPr>
        <a:xfrm flipV="1">
          <a:off x="0" y="34881222"/>
          <a:ext cx="23974709" cy="144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232</xdr:row>
      <xdr:rowOff>16933</xdr:rowOff>
    </xdr:from>
    <xdr:to>
      <xdr:col>20</xdr:col>
      <xdr:colOff>30975</xdr:colOff>
      <xdr:row>232</xdr:row>
      <xdr:rowOff>16934</xdr:rowOff>
    </xdr:to>
    <xdr:cxnSp macro="">
      <xdr:nvCxnSpPr>
        <xdr:cNvPr id="29" name="Straight Connector 13">
          <a:extLst>
            <a:ext uri="{FF2B5EF4-FFF2-40B4-BE49-F238E27FC236}">
              <a16:creationId xmlns:a16="http://schemas.microsoft.com/office/drawing/2014/main" id="{1AD41BBC-7FC2-DB4F-B9DD-9E43B9ACA791}"/>
            </a:ext>
            <a:ext uri="{147F2762-F138-4A5C-976F-8EAC2B608ADB}">
              <a16:predDERef xmlns:a16="http://schemas.microsoft.com/office/drawing/2014/main" pred="{16A39999-6949-FB4F-9D99-AD6F9ED9DCBC}"/>
            </a:ext>
          </a:extLst>
        </xdr:cNvPr>
        <xdr:cNvCxnSpPr/>
      </xdr:nvCxnSpPr>
      <xdr:spPr>
        <a:xfrm>
          <a:off x="0" y="48988133"/>
          <a:ext cx="23974708" cy="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Yuan, Ao" id="{8779D3E7-E7DC-445E-98C0-392B1B981EAE}" userId="S::ay317@bu.edu::72148be3-7ab1-442c-8c5a-a00c04649fa8" providerId="AD"/>
  <person displayName="Weng, Maderlin" id="{328A3D98-93BA-9244-8DB6-1803B36AC84C}" userId="S::mweng@bu.edu::a8150cb3-85aa-4971-a4fb-26e45b68f6e1" providerId="AD"/>
  <person displayName="Yang, Xincheng" id="{05EADCE0-009D-0F49-BEA6-014E88533F74}" userId="S::xcyang@bu.edu::a68defd8-c6ca-4557-9360-c5fc40a08f91" providerId="AD"/>
  <person displayName="Julia Chang" id="{A9E97ABC-8D26-D44C-BC81-8A1CA9327128}" userId="S::jchang55@bu.edu::e3233fad-5612-4ca7-8fb3-d233ded03202" providerId="AD"/>
  <person displayName="Orellana, Valeria, D" id="{317111CC-943F-45E4-A021-49E6B608E403}" userId="S::orellanv@bu.edu::5ba28462-c581-4b36-927c-17fce5f1d67d" providerId="AD"/>
  <person displayName="Gallop, Robert" id="{B0CB385D-5981-4233-9B74-B76E977C4B16}" userId="S::rhgallop@bu.edu::3f36ac01-9af5-408a-81d6-dd88de84fdf3" providerId="AD"/>
</personList>
</file>

<file path=xl/pivotCache/_rels/pivotCacheDefinition1.xml.rels><?xml version="1.0" encoding="UTF-8" standalone="yes"?>
<Relationships xmlns="http://schemas.openxmlformats.org/package/2006/relationships"><Relationship Id="rId2" Type="http://schemas.openxmlformats.org/officeDocument/2006/relationships/externalLinkPath" Target="https://bushare.sharepoint.com/sites/GRP-QST-CORE-A3-T3-2021-Fall/Shared%20Documents/General/Finance%20Workbook%20Starting%20Template%20Products%20FA202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liachang7955@gmail.com" refreshedDate="44518.017141666664" createdVersion="7" refreshedVersion="7" minRefreshableVersion="3" recordCount="59" xr:uid="{A2B2A76A-B931-9346-97AC-8D6A9A433228}">
  <cacheSource type="worksheet">
    <worksheetSource ref="A1:Q60" sheet="MK Analyzing Age Segment Size" r:id="rId2"/>
  </cacheSource>
  <cacheFields count="17">
    <cacheField name="Purchase Intent" numFmtId="0">
      <sharedItems containsSemiMixedTypes="0" containsString="0" containsNumber="1" containsInteger="1" minValue="1" maxValue="5" count="5">
        <n v="4"/>
        <n v="3"/>
        <n v="2"/>
        <n v="5"/>
        <n v="1"/>
      </sharedItems>
    </cacheField>
    <cacheField name="How many children 5-8 Years " numFmtId="0">
      <sharedItems containsString="0" containsBlank="1" containsNumber="1" containsInteger="1" minValue="0" maxValue="3"/>
    </cacheField>
    <cacheField name="How many children 9-12 Years" numFmtId="0">
      <sharedItems containsSemiMixedTypes="0" containsString="0" containsNumber="1" containsInteger="1" minValue="0" maxValue="2"/>
    </cacheField>
    <cacheField name="How many children 13-16 Years" numFmtId="0">
      <sharedItems containsString="0" containsBlank="1" containsNumber="1" containsInteger="1" minValue="0" maxValue="2"/>
    </cacheField>
    <cacheField name="How many children 17-20 Years" numFmtId="0">
      <sharedItems containsSemiMixedTypes="0" containsString="0" containsNumber="1" containsInteger="1" minValue="0" maxValue="2"/>
    </cacheField>
    <cacheField name="How many children do you have in each age range (Write in a number)? - 21-25 Years (Q33_5)" numFmtId="0">
      <sharedItems containsString="0" containsBlank="1" containsNumber="1" containsInteger="1" minValue="0" maxValue="4"/>
    </cacheField>
    <cacheField name="How many children do you have? (Q34)" numFmtId="0">
      <sharedItems containsSemiMixedTypes="0" containsString="0" containsNumber="1" containsInteger="1" minValue="1" maxValue="5"/>
    </cacheField>
    <cacheField name="How many children of each gender do you have (Write in a number)? - Female (Q35_1)" numFmtId="0">
      <sharedItems containsString="0" containsBlank="1" containsNumber="1" containsInteger="1" minValue="0" maxValue="3"/>
    </cacheField>
    <cacheField name="How many children of each gender do you have (Write in a number)? - Male (Q35_2)" numFmtId="0">
      <sharedItems containsString="0" containsBlank="1" containsNumber="1" containsInteger="1" minValue="0" maxValue="3"/>
    </cacheField>
    <cacheField name="How many children of each gender do you have (Write in a number)? - Non-binary (Q35_3)" numFmtId="0">
      <sharedItems containsString="0" containsBlank="1" containsNumber="1" containsInteger="1" minValue="0" maxValue="0"/>
    </cacheField>
    <cacheField name="How many children of each gender do you have (Write in a number)? - Other (Q35_4)" numFmtId="0">
      <sharedItems containsString="0" containsBlank="1" containsNumber="1" containsInteger="1" minValue="0" maxValue="0"/>
    </cacheField>
    <cacheField name="How many children of each gender do you have (Write in a number)? - Prefer not to answer (Q35_5)" numFmtId="0">
      <sharedItems containsString="0" containsBlank="1" containsNumber="1" containsInteger="1" minValue="0" maxValue="0"/>
    </cacheField>
    <cacheField name="Where is your place of residence? (Q36)" numFmtId="0">
      <sharedItems containsSemiMixedTypes="0" containsString="0" containsNumber="1" containsInteger="1" minValue="1" maxValue="1"/>
    </cacheField>
    <cacheField name="Where is your place of residence? - US Zip Code: - Text (Q36_1)" numFmtId="0">
      <sharedItems containsSemiMixedTypes="0" containsString="0" containsNumber="1" containsInteger="1" minValue="1907" maxValue="98117"/>
    </cacheField>
    <cacheField name="What is your Annual Household Income? (Q37)" numFmtId="0">
      <sharedItems containsSemiMixedTypes="0" containsString="0" containsNumber="1" containsInteger="1" minValue="2" maxValue="5"/>
    </cacheField>
    <cacheField name="Kid 5-12" numFmtId="0">
      <sharedItems containsSemiMixedTypes="0" containsString="0" containsNumber="1" containsInteger="1" minValue="0" maxValue="1" count="2">
        <n v="1"/>
        <n v="0"/>
      </sharedItems>
    </cacheField>
    <cacheField name="Kid 5-16" numFmtId="0">
      <sharedItems containsSemiMixedTypes="0" containsString="0" containsNumber="1" containsInteger="1" minValue="0" maxValue="1" count="2">
        <n v="1"/>
        <n v="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9">
  <r>
    <x v="0"/>
    <n v="2"/>
    <n v="0"/>
    <n v="0"/>
    <n v="0"/>
    <n v="0"/>
    <n v="2"/>
    <m/>
    <n v="2"/>
    <m/>
    <m/>
    <m/>
    <n v="1"/>
    <n v="83353"/>
    <n v="5"/>
    <x v="0"/>
    <x v="0"/>
  </r>
  <r>
    <x v="1"/>
    <n v="2"/>
    <n v="2"/>
    <n v="2"/>
    <n v="0"/>
    <n v="0"/>
    <n v="5"/>
    <n v="2"/>
    <n v="3"/>
    <m/>
    <m/>
    <m/>
    <n v="1"/>
    <n v="92503"/>
    <n v="5"/>
    <x v="0"/>
    <x v="0"/>
  </r>
  <r>
    <x v="2"/>
    <n v="1"/>
    <n v="0"/>
    <n v="0"/>
    <n v="0"/>
    <m/>
    <n v="2"/>
    <m/>
    <n v="1"/>
    <m/>
    <m/>
    <m/>
    <n v="1"/>
    <n v="90025"/>
    <n v="3"/>
    <x v="0"/>
    <x v="0"/>
  </r>
  <r>
    <x v="2"/>
    <n v="1"/>
    <n v="0"/>
    <n v="0"/>
    <n v="0"/>
    <n v="0"/>
    <n v="1"/>
    <n v="1"/>
    <n v="0"/>
    <n v="0"/>
    <n v="0"/>
    <n v="0"/>
    <n v="1"/>
    <n v="8904"/>
    <n v="2"/>
    <x v="0"/>
    <x v="0"/>
  </r>
  <r>
    <x v="1"/>
    <n v="1"/>
    <n v="0"/>
    <n v="0"/>
    <n v="0"/>
    <n v="0"/>
    <n v="1"/>
    <m/>
    <n v="1"/>
    <m/>
    <m/>
    <m/>
    <n v="1"/>
    <n v="8904"/>
    <n v="2"/>
    <x v="0"/>
    <x v="0"/>
  </r>
  <r>
    <x v="0"/>
    <n v="1"/>
    <n v="0"/>
    <n v="0"/>
    <n v="0"/>
    <n v="0"/>
    <n v="4"/>
    <n v="1"/>
    <m/>
    <m/>
    <m/>
    <m/>
    <n v="1"/>
    <n v="92557"/>
    <n v="2"/>
    <x v="0"/>
    <x v="0"/>
  </r>
  <r>
    <x v="0"/>
    <n v="2"/>
    <n v="0"/>
    <n v="0"/>
    <n v="0"/>
    <n v="0"/>
    <n v="2"/>
    <n v="1"/>
    <n v="1"/>
    <n v="0"/>
    <n v="0"/>
    <n v="0"/>
    <n v="1"/>
    <n v="8816"/>
    <n v="5"/>
    <x v="0"/>
    <x v="0"/>
  </r>
  <r>
    <x v="2"/>
    <n v="2"/>
    <n v="1"/>
    <n v="0"/>
    <n v="0"/>
    <n v="0"/>
    <n v="3"/>
    <n v="2"/>
    <n v="1"/>
    <m/>
    <m/>
    <m/>
    <n v="1"/>
    <n v="2215"/>
    <n v="2"/>
    <x v="0"/>
    <x v="0"/>
  </r>
  <r>
    <x v="1"/>
    <n v="1"/>
    <n v="1"/>
    <n v="0"/>
    <n v="0"/>
    <n v="0"/>
    <n v="2"/>
    <n v="1"/>
    <n v="1"/>
    <n v="0"/>
    <n v="0"/>
    <n v="0"/>
    <n v="1"/>
    <n v="95014"/>
    <n v="5"/>
    <x v="0"/>
    <x v="0"/>
  </r>
  <r>
    <x v="0"/>
    <n v="0"/>
    <n v="0"/>
    <n v="0"/>
    <n v="0"/>
    <n v="0"/>
    <n v="1"/>
    <n v="1"/>
    <m/>
    <m/>
    <m/>
    <m/>
    <n v="1"/>
    <n v="94555"/>
    <n v="5"/>
    <x v="1"/>
    <x v="1"/>
  </r>
  <r>
    <x v="3"/>
    <n v="0"/>
    <n v="0"/>
    <n v="1"/>
    <n v="0"/>
    <n v="0"/>
    <n v="1"/>
    <m/>
    <n v="1"/>
    <m/>
    <m/>
    <m/>
    <n v="1"/>
    <n v="95014"/>
    <n v="4"/>
    <x v="1"/>
    <x v="0"/>
  </r>
  <r>
    <x v="0"/>
    <n v="0"/>
    <n v="1"/>
    <n v="1"/>
    <n v="2"/>
    <m/>
    <n v="4"/>
    <n v="2"/>
    <n v="2"/>
    <m/>
    <m/>
    <m/>
    <n v="1"/>
    <n v="11050"/>
    <n v="4"/>
    <x v="0"/>
    <x v="0"/>
  </r>
  <r>
    <x v="0"/>
    <n v="1"/>
    <n v="0"/>
    <n v="0"/>
    <n v="0"/>
    <n v="0"/>
    <n v="1"/>
    <n v="1"/>
    <m/>
    <m/>
    <m/>
    <m/>
    <n v="1"/>
    <n v="98117"/>
    <n v="5"/>
    <x v="0"/>
    <x v="0"/>
  </r>
  <r>
    <x v="3"/>
    <n v="0"/>
    <n v="1"/>
    <n v="0"/>
    <n v="0"/>
    <n v="0"/>
    <n v="1"/>
    <m/>
    <n v="1"/>
    <m/>
    <m/>
    <m/>
    <n v="1"/>
    <n v="95129"/>
    <n v="5"/>
    <x v="0"/>
    <x v="0"/>
  </r>
  <r>
    <x v="1"/>
    <n v="0"/>
    <n v="1"/>
    <n v="0"/>
    <n v="0"/>
    <n v="0"/>
    <n v="1"/>
    <m/>
    <n v="1"/>
    <m/>
    <m/>
    <m/>
    <n v="1"/>
    <n v="90028"/>
    <n v="5"/>
    <x v="0"/>
    <x v="0"/>
  </r>
  <r>
    <x v="0"/>
    <n v="0"/>
    <n v="0"/>
    <n v="0"/>
    <n v="1"/>
    <n v="1"/>
    <n v="2"/>
    <m/>
    <n v="2"/>
    <m/>
    <m/>
    <m/>
    <n v="1"/>
    <n v="44122"/>
    <n v="5"/>
    <x v="1"/>
    <x v="1"/>
  </r>
  <r>
    <x v="0"/>
    <n v="0"/>
    <n v="1"/>
    <n v="1"/>
    <n v="0"/>
    <n v="0"/>
    <n v="2"/>
    <n v="2"/>
    <m/>
    <m/>
    <m/>
    <m/>
    <n v="1"/>
    <n v="92128"/>
    <n v="5"/>
    <x v="0"/>
    <x v="0"/>
  </r>
  <r>
    <x v="0"/>
    <n v="0"/>
    <n v="0"/>
    <n v="1"/>
    <n v="1"/>
    <n v="0"/>
    <n v="2"/>
    <n v="1"/>
    <n v="1"/>
    <m/>
    <m/>
    <m/>
    <n v="1"/>
    <n v="92132"/>
    <n v="5"/>
    <x v="1"/>
    <x v="0"/>
  </r>
  <r>
    <x v="0"/>
    <n v="0"/>
    <n v="1"/>
    <n v="0"/>
    <n v="0"/>
    <n v="0"/>
    <n v="2"/>
    <n v="2"/>
    <m/>
    <m/>
    <m/>
    <m/>
    <n v="1"/>
    <n v="75023"/>
    <n v="2"/>
    <x v="0"/>
    <x v="0"/>
  </r>
  <r>
    <x v="0"/>
    <n v="1"/>
    <n v="0"/>
    <n v="0"/>
    <n v="0"/>
    <n v="0"/>
    <n v="1"/>
    <n v="1"/>
    <m/>
    <m/>
    <m/>
    <m/>
    <n v="1"/>
    <n v="95112"/>
    <n v="5"/>
    <x v="0"/>
    <x v="0"/>
  </r>
  <r>
    <x v="2"/>
    <n v="2"/>
    <n v="1"/>
    <n v="0"/>
    <n v="0"/>
    <n v="0"/>
    <n v="3"/>
    <n v="3"/>
    <m/>
    <m/>
    <m/>
    <m/>
    <n v="1"/>
    <n v="75072"/>
    <n v="5"/>
    <x v="0"/>
    <x v="0"/>
  </r>
  <r>
    <x v="0"/>
    <n v="1"/>
    <n v="0"/>
    <n v="0"/>
    <n v="0"/>
    <n v="0"/>
    <n v="1"/>
    <m/>
    <n v="1"/>
    <m/>
    <m/>
    <m/>
    <n v="1"/>
    <n v="2446"/>
    <n v="4"/>
    <x v="0"/>
    <x v="0"/>
  </r>
  <r>
    <x v="1"/>
    <n v="2"/>
    <n v="0"/>
    <n v="0"/>
    <n v="0"/>
    <n v="0"/>
    <n v="2"/>
    <m/>
    <m/>
    <m/>
    <m/>
    <m/>
    <n v="1"/>
    <n v="92503"/>
    <n v="2"/>
    <x v="0"/>
    <x v="0"/>
  </r>
  <r>
    <x v="1"/>
    <n v="2"/>
    <n v="0"/>
    <n v="0"/>
    <n v="0"/>
    <n v="0"/>
    <n v="2"/>
    <n v="1"/>
    <n v="1"/>
    <m/>
    <m/>
    <m/>
    <n v="1"/>
    <n v="92503"/>
    <n v="3"/>
    <x v="0"/>
    <x v="0"/>
  </r>
  <r>
    <x v="1"/>
    <n v="1"/>
    <n v="0"/>
    <n v="0"/>
    <n v="0"/>
    <n v="0"/>
    <n v="1"/>
    <n v="0"/>
    <n v="1"/>
    <n v="0"/>
    <n v="0"/>
    <n v="0"/>
    <n v="1"/>
    <n v="2109"/>
    <n v="4"/>
    <x v="0"/>
    <x v="0"/>
  </r>
  <r>
    <x v="0"/>
    <n v="1"/>
    <n v="0"/>
    <n v="0"/>
    <n v="0"/>
    <n v="0"/>
    <n v="1"/>
    <n v="0"/>
    <n v="1"/>
    <m/>
    <m/>
    <m/>
    <n v="1"/>
    <n v="92121"/>
    <n v="5"/>
    <x v="0"/>
    <x v="0"/>
  </r>
  <r>
    <x v="0"/>
    <n v="1"/>
    <n v="0"/>
    <n v="0"/>
    <n v="0"/>
    <n v="0"/>
    <n v="1"/>
    <m/>
    <n v="1"/>
    <m/>
    <m/>
    <m/>
    <n v="1"/>
    <n v="20008"/>
    <n v="4"/>
    <x v="0"/>
    <x v="0"/>
  </r>
  <r>
    <x v="1"/>
    <n v="0"/>
    <n v="0"/>
    <n v="0"/>
    <n v="2"/>
    <n v="1"/>
    <n v="3"/>
    <n v="2"/>
    <n v="1"/>
    <m/>
    <m/>
    <m/>
    <n v="1"/>
    <n v="7940"/>
    <n v="5"/>
    <x v="1"/>
    <x v="1"/>
  </r>
  <r>
    <x v="1"/>
    <n v="0"/>
    <n v="0"/>
    <n v="1"/>
    <n v="2"/>
    <n v="0"/>
    <n v="3"/>
    <n v="2"/>
    <n v="1"/>
    <m/>
    <m/>
    <m/>
    <n v="1"/>
    <n v="77096"/>
    <n v="5"/>
    <x v="1"/>
    <x v="0"/>
  </r>
  <r>
    <x v="0"/>
    <n v="0"/>
    <n v="0"/>
    <n v="0"/>
    <n v="2"/>
    <n v="1"/>
    <n v="3"/>
    <n v="2"/>
    <n v="1"/>
    <m/>
    <m/>
    <m/>
    <n v="1"/>
    <n v="6492"/>
    <n v="3"/>
    <x v="1"/>
    <x v="1"/>
  </r>
  <r>
    <x v="1"/>
    <n v="1"/>
    <n v="0"/>
    <n v="0"/>
    <n v="0"/>
    <n v="0"/>
    <n v="1"/>
    <m/>
    <n v="1"/>
    <m/>
    <m/>
    <m/>
    <n v="1"/>
    <n v="91007"/>
    <n v="3"/>
    <x v="0"/>
    <x v="0"/>
  </r>
  <r>
    <x v="0"/>
    <n v="1"/>
    <n v="0"/>
    <n v="0"/>
    <n v="0"/>
    <n v="0"/>
    <n v="2"/>
    <m/>
    <n v="2"/>
    <m/>
    <m/>
    <m/>
    <n v="1"/>
    <n v="1907"/>
    <n v="3"/>
    <x v="0"/>
    <x v="0"/>
  </r>
  <r>
    <x v="4"/>
    <m/>
    <n v="0"/>
    <n v="0"/>
    <n v="1"/>
    <m/>
    <n v="1"/>
    <n v="1"/>
    <m/>
    <m/>
    <m/>
    <m/>
    <n v="1"/>
    <n v="2144"/>
    <n v="3"/>
    <x v="1"/>
    <x v="1"/>
  </r>
  <r>
    <x v="4"/>
    <m/>
    <n v="0"/>
    <n v="0"/>
    <n v="2"/>
    <n v="1"/>
    <n v="3"/>
    <n v="3"/>
    <m/>
    <m/>
    <m/>
    <m/>
    <n v="1"/>
    <n v="7960"/>
    <n v="5"/>
    <x v="1"/>
    <x v="1"/>
  </r>
  <r>
    <x v="0"/>
    <n v="2"/>
    <n v="0"/>
    <n v="0"/>
    <n v="0"/>
    <n v="0"/>
    <n v="3"/>
    <n v="2"/>
    <n v="1"/>
    <m/>
    <m/>
    <m/>
    <n v="1"/>
    <n v="2110"/>
    <n v="2"/>
    <x v="0"/>
    <x v="0"/>
  </r>
  <r>
    <x v="0"/>
    <n v="1"/>
    <n v="0"/>
    <n v="0"/>
    <n v="0"/>
    <n v="0"/>
    <n v="1"/>
    <n v="1"/>
    <m/>
    <m/>
    <m/>
    <m/>
    <n v="1"/>
    <n v="2215"/>
    <n v="2"/>
    <x v="0"/>
    <x v="0"/>
  </r>
  <r>
    <x v="1"/>
    <n v="1"/>
    <n v="0"/>
    <n v="0"/>
    <n v="0"/>
    <n v="0"/>
    <n v="1"/>
    <n v="1"/>
    <m/>
    <m/>
    <m/>
    <m/>
    <n v="1"/>
    <n v="2215"/>
    <n v="5"/>
    <x v="0"/>
    <x v="0"/>
  </r>
  <r>
    <x v="0"/>
    <n v="2"/>
    <n v="0"/>
    <n v="0"/>
    <n v="0"/>
    <n v="0"/>
    <n v="2"/>
    <n v="1"/>
    <n v="1"/>
    <m/>
    <m/>
    <m/>
    <n v="1"/>
    <n v="92880"/>
    <n v="3"/>
    <x v="0"/>
    <x v="0"/>
  </r>
  <r>
    <x v="0"/>
    <n v="1"/>
    <n v="0"/>
    <n v="0"/>
    <n v="0"/>
    <n v="0"/>
    <n v="1"/>
    <n v="1"/>
    <m/>
    <m/>
    <m/>
    <m/>
    <n v="1"/>
    <n v="92880"/>
    <n v="2"/>
    <x v="0"/>
    <x v="0"/>
  </r>
  <r>
    <x v="0"/>
    <n v="3"/>
    <n v="0"/>
    <n v="0"/>
    <n v="0"/>
    <n v="0"/>
    <n v="3"/>
    <n v="3"/>
    <m/>
    <m/>
    <m/>
    <m/>
    <n v="1"/>
    <n v="92506"/>
    <n v="2"/>
    <x v="0"/>
    <x v="0"/>
  </r>
  <r>
    <x v="0"/>
    <n v="1"/>
    <n v="0"/>
    <n v="0"/>
    <n v="0"/>
    <n v="0"/>
    <n v="1"/>
    <n v="1"/>
    <m/>
    <m/>
    <m/>
    <m/>
    <n v="1"/>
    <n v="2215"/>
    <n v="3"/>
    <x v="0"/>
    <x v="0"/>
  </r>
  <r>
    <x v="0"/>
    <n v="1"/>
    <n v="1"/>
    <n v="0"/>
    <n v="0"/>
    <n v="0"/>
    <n v="2"/>
    <n v="2"/>
    <m/>
    <m/>
    <m/>
    <m/>
    <n v="1"/>
    <n v="60064"/>
    <n v="3"/>
    <x v="0"/>
    <x v="0"/>
  </r>
  <r>
    <x v="2"/>
    <n v="0"/>
    <n v="0"/>
    <m/>
    <n v="1"/>
    <n v="1"/>
    <n v="2"/>
    <n v="1"/>
    <n v="1"/>
    <m/>
    <m/>
    <m/>
    <n v="1"/>
    <n v="92129"/>
    <n v="5"/>
    <x v="1"/>
    <x v="1"/>
  </r>
  <r>
    <x v="2"/>
    <n v="0"/>
    <n v="0"/>
    <n v="2"/>
    <n v="0"/>
    <n v="0"/>
    <n v="2"/>
    <n v="1"/>
    <n v="1"/>
    <m/>
    <m/>
    <m/>
    <n v="1"/>
    <n v="95054"/>
    <n v="5"/>
    <x v="1"/>
    <x v="0"/>
  </r>
  <r>
    <x v="0"/>
    <n v="0"/>
    <n v="0"/>
    <n v="0"/>
    <n v="1"/>
    <n v="2"/>
    <n v="3"/>
    <m/>
    <n v="3"/>
    <m/>
    <m/>
    <m/>
    <n v="1"/>
    <n v="19063"/>
    <n v="5"/>
    <x v="1"/>
    <x v="1"/>
  </r>
  <r>
    <x v="0"/>
    <n v="1"/>
    <n v="0"/>
    <n v="0"/>
    <n v="0"/>
    <n v="0"/>
    <n v="1"/>
    <m/>
    <n v="1"/>
    <m/>
    <m/>
    <m/>
    <n v="1"/>
    <n v="92078"/>
    <n v="5"/>
    <x v="0"/>
    <x v="0"/>
  </r>
  <r>
    <x v="1"/>
    <n v="1"/>
    <n v="0"/>
    <n v="0"/>
    <n v="0"/>
    <n v="1"/>
    <n v="2"/>
    <n v="1"/>
    <n v="1"/>
    <m/>
    <m/>
    <m/>
    <n v="1"/>
    <n v="95120"/>
    <n v="2"/>
    <x v="0"/>
    <x v="0"/>
  </r>
  <r>
    <x v="0"/>
    <n v="2"/>
    <n v="1"/>
    <n v="1"/>
    <n v="0"/>
    <n v="0"/>
    <n v="4"/>
    <n v="2"/>
    <n v="2"/>
    <m/>
    <m/>
    <m/>
    <n v="1"/>
    <n v="92503"/>
    <n v="3"/>
    <x v="0"/>
    <x v="0"/>
  </r>
  <r>
    <x v="2"/>
    <n v="1"/>
    <n v="0"/>
    <n v="0"/>
    <n v="0"/>
    <n v="0"/>
    <n v="1"/>
    <m/>
    <n v="1"/>
    <m/>
    <m/>
    <m/>
    <n v="1"/>
    <n v="10039"/>
    <n v="2"/>
    <x v="0"/>
    <x v="0"/>
  </r>
  <r>
    <x v="4"/>
    <n v="0"/>
    <n v="0"/>
    <n v="0"/>
    <n v="2"/>
    <n v="1"/>
    <n v="3"/>
    <n v="2"/>
    <n v="1"/>
    <m/>
    <m/>
    <m/>
    <n v="1"/>
    <n v="7924"/>
    <n v="5"/>
    <x v="1"/>
    <x v="1"/>
  </r>
  <r>
    <x v="0"/>
    <n v="0"/>
    <n v="0"/>
    <n v="2"/>
    <n v="0"/>
    <n v="0"/>
    <n v="2"/>
    <n v="1"/>
    <n v="1"/>
    <m/>
    <m/>
    <m/>
    <n v="1"/>
    <n v="92127"/>
    <n v="5"/>
    <x v="1"/>
    <x v="0"/>
  </r>
  <r>
    <x v="0"/>
    <n v="0"/>
    <n v="0"/>
    <n v="0"/>
    <n v="2"/>
    <n v="1"/>
    <n v="3"/>
    <n v="2"/>
    <n v="1"/>
    <m/>
    <m/>
    <m/>
    <n v="1"/>
    <n v="94904"/>
    <n v="5"/>
    <x v="1"/>
    <x v="1"/>
  </r>
  <r>
    <x v="1"/>
    <n v="0"/>
    <n v="0"/>
    <n v="0"/>
    <n v="1"/>
    <n v="1"/>
    <n v="2"/>
    <n v="1"/>
    <n v="1"/>
    <m/>
    <m/>
    <m/>
    <n v="1"/>
    <n v="2131"/>
    <n v="5"/>
    <x v="1"/>
    <x v="1"/>
  </r>
  <r>
    <x v="3"/>
    <n v="0"/>
    <n v="0"/>
    <n v="0"/>
    <n v="0"/>
    <n v="0"/>
    <n v="1"/>
    <m/>
    <m/>
    <m/>
    <m/>
    <m/>
    <n v="1"/>
    <n v="95002"/>
    <n v="5"/>
    <x v="1"/>
    <x v="1"/>
  </r>
  <r>
    <x v="0"/>
    <n v="1"/>
    <n v="2"/>
    <n v="0"/>
    <n v="0"/>
    <n v="0"/>
    <n v="3"/>
    <n v="2"/>
    <n v="1"/>
    <m/>
    <m/>
    <m/>
    <n v="1"/>
    <n v="95070"/>
    <n v="4"/>
    <x v="0"/>
    <x v="0"/>
  </r>
  <r>
    <x v="0"/>
    <n v="0"/>
    <n v="0"/>
    <n v="0"/>
    <n v="0"/>
    <n v="4"/>
    <n v="4"/>
    <n v="2"/>
    <n v="2"/>
    <m/>
    <m/>
    <m/>
    <n v="1"/>
    <n v="92270"/>
    <n v="3"/>
    <x v="1"/>
    <x v="1"/>
  </r>
  <r>
    <x v="3"/>
    <n v="0"/>
    <n v="0"/>
    <n v="0"/>
    <n v="0"/>
    <n v="2"/>
    <n v="2"/>
    <n v="2"/>
    <m/>
    <m/>
    <m/>
    <m/>
    <n v="1"/>
    <n v="95014"/>
    <n v="3"/>
    <x v="1"/>
    <x v="1"/>
  </r>
  <r>
    <x v="3"/>
    <n v="1"/>
    <n v="0"/>
    <n v="0"/>
    <n v="0"/>
    <n v="0"/>
    <n v="2"/>
    <n v="1"/>
    <n v="1"/>
    <m/>
    <m/>
    <m/>
    <n v="1"/>
    <n v="95014"/>
    <n v="4"/>
    <x v="0"/>
    <x v="0"/>
  </r>
  <r>
    <x v="3"/>
    <n v="1"/>
    <n v="0"/>
    <n v="0"/>
    <n v="0"/>
    <n v="0"/>
    <n v="1"/>
    <n v="1"/>
    <m/>
    <m/>
    <m/>
    <m/>
    <n v="1"/>
    <n v="2135"/>
    <n v="5"/>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9CD7F9A-DB5D-8144-AA4A-66401DE0D89A}" name="PivotTable25"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rowHeaderCaption="Purchase Intent" colHeaderCaption="Child's Age">
  <location ref="O85:U93" firstHeaderRow="1" firstDataRow="3" firstDataCol="1"/>
  <pivotFields count="17">
    <pivotField axis="axisRow" showAll="0">
      <items count="6">
        <item n="Def Not Buy" x="4"/>
        <item n="Prob Not Buy" x="2"/>
        <item n="Maybe Buy" x="1"/>
        <item n="Prob Buy" x="0"/>
        <item n="Def Buy"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3">
        <item n="Do Not Have Kid 5-12" x="1"/>
        <item n="Have Kid 5-12" x="0"/>
        <item t="default"/>
      </items>
    </pivotField>
    <pivotField showAll="0">
      <items count="3">
        <item x="1"/>
        <item x="0"/>
        <item t="default"/>
      </items>
    </pivotField>
  </pivotFields>
  <rowFields count="1">
    <field x="0"/>
  </rowFields>
  <rowItems count="6">
    <i>
      <x/>
    </i>
    <i>
      <x v="1"/>
    </i>
    <i>
      <x v="2"/>
    </i>
    <i>
      <x v="3"/>
    </i>
    <i>
      <x v="4"/>
    </i>
    <i t="grand">
      <x/>
    </i>
  </rowItems>
  <colFields count="2">
    <field x="15"/>
    <field x="-2"/>
  </colFields>
  <colItems count="6">
    <i>
      <x/>
      <x/>
    </i>
    <i r="1" i="1">
      <x v="1"/>
    </i>
    <i>
      <x v="1"/>
      <x/>
    </i>
    <i r="1" i="1">
      <x v="1"/>
    </i>
    <i t="grand">
      <x/>
    </i>
    <i t="grand" i="1">
      <x/>
    </i>
  </colItems>
  <dataFields count="2">
    <dataField name="Count of Kid 5-12" fld="15" subtotal="count" baseField="0" baseItem="0"/>
    <dataField name="Count of Kid 5-12_2" fld="15" subtotal="count" showDataAs="percentOfCol" baseField="0" baseItem="0" numFmtId="10"/>
  </dataFields>
  <formats count="4">
    <format dxfId="3">
      <pivotArea dataOnly="0" labelOnly="1" fieldPosition="0">
        <references count="1">
          <reference field="15" count="0"/>
        </references>
      </pivotArea>
    </format>
    <format dxfId="2">
      <pivotArea field="15" dataOnly="0" labelOnly="1" grandCol="1" outline="0" axis="axisCol" fieldPosition="0">
        <references count="1">
          <reference field="4294967294" count="1" selected="0">
            <x v="0"/>
          </reference>
        </references>
      </pivotArea>
    </format>
    <format dxfId="1">
      <pivotArea field="15" dataOnly="0" labelOnly="1" grandCol="1" outline="0" axis="axisCol" fieldPosition="0">
        <references count="1">
          <reference field="4294967294" count="1" selected="0">
            <x v="1"/>
          </reference>
        </references>
      </pivotArea>
    </format>
    <format dxfId="0">
      <pivotArea collapsedLevelsAreSubtotals="1" fieldPosition="0">
        <references count="3">
          <reference field="4294967294" count="2" selected="0">
            <x v="0"/>
            <x v="1"/>
          </reference>
          <reference field="0" count="2">
            <x v="3"/>
            <x v="4"/>
          </reference>
          <reference field="15"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6A945E2-05AA-E84F-A45B-AE4627C6A63E}" name="PivotTable24"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rowHeaderCaption="Purchase Intent" colHeaderCaption="Child's Age">
  <location ref="O96:U104" firstHeaderRow="1" firstDataRow="3" firstDataCol="1"/>
  <pivotFields count="17">
    <pivotField axis="axisRow" showAll="0">
      <items count="6">
        <item n="Def Not Buy" x="4"/>
        <item n="Prob Not Buy" x="2"/>
        <item n="Maybe Buy" x="1"/>
        <item n="Prob Buy" x="0"/>
        <item n="Def Buy"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n="Do Not Have Kid 5-12" x="1"/>
        <item n="Have Kid 5-12" x="0"/>
        <item t="default"/>
      </items>
    </pivotField>
    <pivotField axis="axisCol" dataField="1" showAll="0">
      <items count="3">
        <item n="Do Not Have Kid 5-16" x="1"/>
        <item n="Have Kid 5-16" x="0"/>
        <item t="default"/>
      </items>
    </pivotField>
  </pivotFields>
  <rowFields count="1">
    <field x="0"/>
  </rowFields>
  <rowItems count="6">
    <i>
      <x/>
    </i>
    <i>
      <x v="1"/>
    </i>
    <i>
      <x v="2"/>
    </i>
    <i>
      <x v="3"/>
    </i>
    <i>
      <x v="4"/>
    </i>
    <i t="grand">
      <x/>
    </i>
  </rowItems>
  <colFields count="2">
    <field x="16"/>
    <field x="-2"/>
  </colFields>
  <colItems count="6">
    <i>
      <x/>
      <x/>
    </i>
    <i r="1" i="1">
      <x v="1"/>
    </i>
    <i>
      <x v="1"/>
      <x/>
    </i>
    <i r="1" i="1">
      <x v="1"/>
    </i>
    <i t="grand">
      <x/>
    </i>
    <i t="grand" i="1">
      <x/>
    </i>
  </colItems>
  <dataFields count="2">
    <dataField name="Count of Kid 5-16" fld="16" subtotal="count" baseField="0" baseItem="0"/>
    <dataField name="Count of Kid 5-16_2" fld="16" subtotal="count" showDataAs="percentOfCol" baseField="0" baseItem="0" numFmtId="10"/>
  </dataFields>
  <formats count="3">
    <format dxfId="6">
      <pivotArea collapsedLevelsAreSubtotals="1" fieldPosition="0">
        <references count="3">
          <reference field="4294967294" count="2" selected="0">
            <x v="0"/>
            <x v="1"/>
          </reference>
          <reference field="0" count="2">
            <x v="3"/>
            <x v="4"/>
          </reference>
          <reference field="16" count="1" selected="0">
            <x v="1"/>
          </reference>
        </references>
      </pivotArea>
    </format>
    <format dxfId="5">
      <pivotArea field="16" dataOnly="0" labelOnly="1" grandCol="1" outline="0" axis="axisCol" fieldPosition="0">
        <references count="1">
          <reference field="4294967294" count="1" selected="0">
            <x v="0"/>
          </reference>
        </references>
      </pivotArea>
    </format>
    <format dxfId="4">
      <pivotArea field="16" dataOnly="0" labelOnly="1" grandCol="1" outline="0" axis="axisCol"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783710F-4E6C-1D4E-BA83-68FA556B1F19}" name="Table3" displayName="Table3" ref="B39:G44" totalsRowShown="0" headerRowDxfId="8">
  <autoFilter ref="B39:G44" xr:uid="{5783710F-4E6C-1D4E-BA83-68FA556B1F19}"/>
  <tableColumns count="6">
    <tableColumn id="1" xr3:uid="{3C6F6710-D696-9E49-9446-C5098983103F}" name="Year" dataDxfId="7"/>
    <tableColumn id="7" xr3:uid="{3E57095F-213F-4DEF-9409-C7B2959678BB}" name="Total Available Time">
      <calculatedColumnFormula>8*60</calculatedColumnFormula>
    </tableColumn>
    <tableColumn id="2" xr3:uid="{F40F475A-23C0-384A-A31E-41AE4377454B}" name="Demand/Day"/>
    <tableColumn id="3" xr3:uid="{9E9FBB72-B6F6-CE4F-BF19-248D1046E6B8}" name="Takt Times Minutes">
      <calculatedColumnFormula>C40/D40</calculatedColumnFormula>
    </tableColumn>
    <tableColumn id="4" xr3:uid="{585B94E0-E01E-8C43-A7A6-33C0EEB0A13B}" name="Workers Needed">
      <calculatedColumnFormula>#REF!/$E40</calculatedColumnFormula>
    </tableColumn>
    <tableColumn id="5" xr3:uid="{1A2DFC5E-F61C-7243-B467-0EE8681ED08A}" name="Round Workers">
      <calculatedColumnFormula>ROUNDUP(F40,0)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20" dT="2021-12-02T14:54:43.87" personId="{8779D3E7-E7DC-445E-98C0-392B1B981EAE}" id="{D153A17F-F495-4D39-83C5-7DE3DA73F6E3}">
    <text>Tax not shipping</text>
  </threadedComment>
</ThreadedComments>
</file>

<file path=xl/threadedComments/threadedComment2.xml><?xml version="1.0" encoding="utf-8"?>
<ThreadedComments xmlns="http://schemas.microsoft.com/office/spreadsheetml/2018/threadedcomments" xmlns:x="http://schemas.openxmlformats.org/spreadsheetml/2006/main">
  <threadedComment ref="M7" dT="2021-12-04T21:41:44.09" personId="{8779D3E7-E7DC-445E-98C0-392B1B981EAE}" id="{527A4496-0607-204E-921D-5E0145626EC6}">
    <text>Month 10-12 are producing for Year 2</text>
  </threadedComment>
</ThreadedComments>
</file>

<file path=xl/threadedComments/threadedComment3.xml><?xml version="1.0" encoding="utf-8"?>
<ThreadedComments xmlns="http://schemas.microsoft.com/office/spreadsheetml/2018/threadedcomments" xmlns:x="http://schemas.openxmlformats.org/spreadsheetml/2006/main">
  <threadedComment ref="B11" dT="2021-12-01T00:38:50.18" personId="{317111CC-943F-45E4-A021-49E6B608E403}" id="{782A894D-DA6F-469F-84D6-A0CCA138E46D}">
    <text>https://www.iotacommunications.com/blog/average-utility-cost-per-square-foot-commercial-property/</text>
  </threadedComment>
  <threadedComment ref="B12" dT="2021-12-01T00:42:49.62" personId="{317111CC-943F-45E4-A021-49E6B608E403}" id="{0427F644-BA98-466B-94C5-1C76BC0F79B8}">
    <text xml:space="preserve">https://www.onupkeep.com/learning/maintenance-metrics/maintenance-statistics </text>
  </threadedComment>
  <threadedComment ref="B19" dT="2021-12-01T00:24:40.81" personId="{317111CC-943F-45E4-A021-49E6B608E403}" id="{633B3470-41BF-4755-A54C-924F2025B1C1}">
    <text>https://www.masterclass.com/articles/how-to-make-a-hardcover-book#how-to-make-a-hardcover-book-in-10-steps</text>
  </threadedComment>
  <threadedComment ref="B19" dT="2021-12-01T00:24:51.10" personId="{317111CC-943F-45E4-A021-49E6B608E403}" id="{EB462DD1-21C5-4338-A1F8-8E15973587ED}" parentId="{633B3470-41BF-4755-A54C-924F2025B1C1}">
    <text>https://cdn2.hubspot.net/hubfs/213379/docs/Compact-CPS-BMWGuide-July2018-Ed.pdf</text>
  </threadedComment>
  <threadedComment ref="C19" dT="2021-12-01T16:47:03.86" personId="{317111CC-943F-45E4-A021-49E6B608E403}" id="{C3E38E73-816B-4FF1-9805-BEA2488BA25E}">
    <text>https://www.tonerbuzz.com/blog/printing-costs-how-to-accurately-calculate-your-printing-cost-per-page/</text>
  </threadedComment>
  <threadedComment ref="C19" dT="2021-12-01T16:47:14.34" personId="{317111CC-943F-45E4-A021-49E6B608E403}" id="{9FB7984E-6014-40FD-ABD2-79EE69EFC2AC}" parentId="{C3E38E73-816B-4FF1-9805-BEA2488BA25E}">
    <text xml:space="preserve">0.05 cents per page </text>
  </threadedComment>
  <threadedComment ref="C20" dT="2021-11-30T21:35:31.67" personId="{317111CC-943F-45E4-A021-49E6B608E403}" id="{4D2FB867-0227-47D8-9DE8-06AD1D0540FF}">
    <text>https://www.alibaba.com/product-detail/Flyers-printing-high-gloss-offset-ink_60840303519.html?spm=a2700.7724857.normal_offer.d_title.55c052dd5zWM4V</text>
  </threadedComment>
  <threadedComment ref="C21" dT="2021-11-30T21:35:41.73" personId="{317111CC-943F-45E4-A021-49E6B608E403}" id="{BD6CD15E-70EC-4E60-843F-E9FD5E7F37F4}">
    <text xml:space="preserve">https://www.mybinding.com/coverbind-premium-perfect-binding-glue-30lb-bag.html </text>
  </threadedComment>
  <threadedComment ref="C22" dT="2021-11-30T21:35:51.87" personId="{317111CC-943F-45E4-A021-49E6B608E403}" id="{7D36182F-3ADF-4180-AB72-24D1326E6482}">
    <text>https://www.inkandprint.com/collections/spray-powders/products/l3-20-soluble</text>
  </threadedComment>
  <threadedComment ref="C23" dT="2021-11-30T21:38:23.79" personId="{317111CC-943F-45E4-A021-49E6B608E403}" id="{0E1BF6CB-F950-4F07-B3B6-2932B5E926ED}">
    <text>https://www.wawak.com/Thread/Thread-By-Brand/Maxi-Lock/maxi-lock-serger-spun-polyester-thread-tex-27/?sku=SPT443299</text>
  </threadedComment>
  <threadedComment ref="C25" dT="2021-11-30T23:47:58.60" personId="{317111CC-943F-45E4-A021-49E6B608E403}" id="{1ACDDF5C-CE7C-4103-BA3A-39C67546D834}">
    <text>https://www.mybinding.com/6-x-9-87pt-chipboard-covers-25pk.html?gclid=Cj0KCQiAtJeNBhCVARIsANJUJ2E1iLposoGgH8oo14PBgxHytXmMUxnSnNwXslnuZ4zqx5vitxinDSwaAq-qEALw_wcB</text>
  </threadedComment>
  <threadedComment ref="C26" dT="2021-11-30T23:57:27.57" personId="{317111CC-943F-45E4-A021-49E6B608E403}" id="{B6D9553E-7375-4631-A3B1-C8F9E50850B7}">
    <text>https://www.tonerbuzz.com/blog/printing-costs-how-to-accurately-calculate-your-printing-cost-per-page/</text>
  </threadedComment>
  <threadedComment ref="C26" dT="2021-12-01T00:02:48.01" personId="{317111CC-943F-45E4-A021-49E6B608E403}" id="{8B2A7AFD-CD8A-418D-BF32-D0667D32A2C4}" parentId="{B6D9553E-7375-4631-A3B1-C8F9E50850B7}">
    <text xml:space="preserve">Assumption: 20 cents </text>
  </threadedComment>
  <threadedComment ref="C27" dT="2021-12-01T00:01:03.06" personId="{317111CC-943F-45E4-A021-49E6B608E403}" id="{52473A99-80D1-4D26-BC6E-E3F0C93FFAF5}">
    <text>Taken from OM $ Raw Material</text>
  </threadedComment>
  <threadedComment ref="C28" dT="2021-12-01T00:16:59.47" personId="{317111CC-943F-45E4-A021-49E6B608E403}" id="{B6F2FE6C-3885-45DA-B29D-F3C2D31FB0D6}">
    <text>https://www.thepricer.org/the-cost-of-laminating/</text>
  </threadedComment>
  <threadedComment ref="C28" dT="2021-12-01T00:19:27.57" personId="{317111CC-943F-45E4-A021-49E6B608E403}" id="{5DF6E68B-AF19-46BE-92A1-81E2B4038A2A}" parentId="{B6F2FE6C-3885-45DA-B29D-F3C2D31FB0D6}">
    <text xml:space="preserve">Assumption: Cost between 0.25 to 0.50/per foot --&gt; took average 0.375*(0.0833333) = 0.0312 </text>
  </threadedComment>
  <threadedComment ref="C28" dT="2021-12-01T00:20:02.99" personId="{317111CC-943F-45E4-A021-49E6B608E403}" id="{A34383C6-79E7-41F5-A5E8-2E576A2A5768}" parentId="{B6F2FE6C-3885-45DA-B29D-F3C2D31FB0D6}">
    <text xml:space="preserve">Based on a 6" by 9" inch book = 0.0833333 feet </text>
  </threadedComment>
  <threadedComment ref="B32" dT="2021-12-01T00:28:33.88" personId="{317111CC-943F-45E4-A021-49E6B608E403}" id="{767C26D9-3781-41E7-AB56-946FAC09B536}">
    <text>https://www.youtube.com/channel/UCSuSPbvmwLZv9CMdeSsWkFA/about</text>
  </threadedComment>
  <threadedComment ref="C32" dT="2021-11-30T19:49:29.52" personId="{317111CC-943F-45E4-A021-49E6B608E403}" id="{20AA0159-08C9-4EE9-971A-362B729E0273}">
    <text>https://www.machinio.com/listings/44786798-agfa-xcalibur-vlf-platesetter-in-lawrence-ma</text>
  </threadedComment>
  <threadedComment ref="C33" dT="2021-12-01T14:00:00.55" personId="{317111CC-943F-45E4-A021-49E6B608E403}" id="{95BAA7EF-41D4-45ED-B903-F820446A393F}">
    <text>https://copier1.com/product/ricoh-pro-c9110/?gclid=Cj0KCQiA15yNBhDTARIsAGnwe0VlbjjQxouJjX6Aqh063XFoLLDh0HTMKY78tkuxqrrshwOinjt-124aAoanEALw_wcB</text>
  </threadedComment>
  <threadedComment ref="C34" dT="2021-11-30T19:50:35.52" personId="{317111CC-943F-45E4-A021-49E6B608E403}" id="{11A30B8B-9226-40B3-9284-21D916BC7256}">
    <text>https://www.laminator.com/ledco-hd-38-38-inch-heavy-duty-roll-laminator.html</text>
  </threadedComment>
  <threadedComment ref="C35" dT="2021-11-30T19:54:13.41" personId="{317111CC-943F-45E4-A021-49E6B608E403}" id="{2226DF52-8B12-4067-8CC4-CCC76D9112AF}">
    <text>https://www.whitakerbrothers.com/products/challenge-champion-305-manual-backgauge-cutter?variant=39365950570538</text>
  </threadedComment>
  <threadedComment ref="C36" dT="2021-11-30T19:55:06.70" personId="{317111CC-943F-45E4-A021-49E6B608E403}" id="{28E3F372-BB56-4DF7-A0FF-EEA52ECC3D4B}">
    <text>https://stores.mailshipdirect.net/formax-fd-6204-fully-automatic-document-folder-inserter-same-as-neopost-ds-63-hasler-m3300-full-warranty-call-for-special-pricing/?gclid=Cj0KCQiAtJeNBhCVARIsANJUJ2HNI2-72WrguTP43FEExIoqY6mwotIqPEuGzfnf4lGdPBAxwX1RGlMaAmmCEALw_wcB</text>
  </threadedComment>
  <threadedComment ref="C37" dT="2021-11-30T19:56:38.23" personId="{317111CC-943F-45E4-A021-49E6B608E403}" id="{78E913A5-D5A9-4859-BA4F-EE735B53EA81}">
    <text>https://www.whitakerbrothers.com/products/mbm-fc-10-collator?variant=39366027280426&amp;utm_term=&amp;amp;utm_source=google&amp;amp;utm_medium=cpc&amp;gclid=Cj0KCQiAtJeNBhCVARIsANJUJ2EeIzfzqe_APYmDCjOgRycevdp7PoOSsiVSXajdTuQoDzUv0wWwdHMaAq1JEALw_wcB</text>
  </threadedComment>
  <threadedComment ref="C38" dT="2021-11-30T19:58:27.83" personId="{317111CC-943F-45E4-A021-49E6B608E403}" id="{0979027C-3229-493E-82C8-FF62CAAF0B14}">
    <text>https://www.toolots.com/spb-bm600.html</text>
  </threadedComment>
  <threadedComment ref="C39" dT="2021-11-30T19:59:16.69" personId="{317111CC-943F-45E4-A021-49E6B608E403}" id="{7CEA6739-1AC1-48B6-85C0-166D8AF7F4A2}">
    <text>https://www.cfsbinds.com/ch200fuhypac.html?gclid=Cj0KCQiAtJeNBhCVARIsANJUJ2EgA4UGVTn98tILf5rnZGlaGHm_4M5eJtVjqXUicx0AlRW8A6ov10AaAr-NEALw_wcB</text>
  </threadedComment>
  <threadedComment ref="C40" dT="2021-11-30T20:00:14.34" personId="{317111CC-943F-45E4-A021-49E6B608E403}" id="{9A0F3BB8-EA5B-49F7-8DF1-5FBEECFD6C94}">
    <text>https://www.alibaba.com/pla/Stainless-steel-304-food-grade-mesh_60765922027.html?mark=google_shopping&amp;biz=pla&amp;pcy=US&amp;searchText=Mesh+Belt+Conveyor&amp;product_id=60765922027&amp;src=sem_ggl&amp;from=sem_ggl&amp;cmpgn=11895329719&amp;adgrp=112297194941&amp;fditm=&amp;tgt=pla-1082573610178&amp;locintrst=&amp;locphyscl=9061331&amp;mtchtyp=&amp;ntwrk=u&amp;device=c&amp;dvcmdl=&amp;creative=487601239172&amp;plcmnt=&amp;plcmntcat=&amp;p1=&amp;p2=&amp;aceid=&amp;position=&amp;localKeyword=&amp;pla_prdid=60765922027&amp;pla_country=US&amp;pla_lang=en&amp;gclid=Cj0KCQiAtJeNBhCVARIsANJUJ2EYXMM6-HJQt3fx7JqKKdTBas9q3y9k6fDysqqvmCXjYIAtMVxh_UoaAnV1EALw_wcB</text>
  </threadedComment>
  <threadedComment ref="C41" dT="2021-11-30T20:01:16.55" personId="{317111CC-943F-45E4-A021-49E6B608E403}" id="{83F6A770-A3B5-4224-BE37-C7978663E508}">
    <text>https://www.globalindustrial.com/p/steel-deck-truck-36-l-x-24-w-1400-lb-capacity?infoParam.campaignId=T9F&amp;gclid=Cj0KCQiAtJeNBhCVARIsANJUJ2G6It3C_fvZeAH0pA6shDN7fB5xG3gLGaeD0WubvMBKcFH927CblIoaAlgVEALw_wcB</text>
  </threadedComment>
  <threadedComment ref="C42" dT="2021-11-30T20:02:46.13" personId="{317111CC-943F-45E4-A021-49E6B608E403}" id="{9103A63B-C865-4C97-B372-F83D9063D5F4}">
    <text>https://www.uline.com/Product/ViewCart/UpdateFromProduct</text>
  </threadedComment>
  <threadedComment ref="C45" dT="2021-11-30T22:01:36.14" personId="{317111CC-943F-45E4-A021-49E6B608E403}" id="{E3990C0F-F700-4D4D-B6D7-78E6A026792D}">
    <text>Triple-net rent</text>
  </threadedComment>
  <threadedComment ref="C46" dT="2021-11-30T22:00:59.49" personId="{317111CC-943F-45E4-A021-49E6B608E403}" id="{DBE7E0EA-88C9-462D-9B1D-B679CBB60AF7}">
    <text>https://www.iotacommunications.com/blog/average-utility-cost-per-square-foot-commercial-property/</text>
  </threadedComment>
  <threadedComment ref="C46" dT="2021-12-01T00:37:53.19" personId="{317111CC-943F-45E4-A021-49E6B608E403}" id="{4A34E020-6AD0-42D0-B935-8D4E6E09DF68}" parentId="{DBE7E0EA-88C9-462D-9B1D-B679CBB60AF7}">
    <text xml:space="preserve">Assumption used: Average cost of utilities for commercial buildings is $2.10 per square foot. </text>
  </threadedComment>
  <threadedComment ref="C53" dT="2021-11-30T21:59:15.98" personId="{317111CC-943F-45E4-A021-49E6B608E403}" id="{9360F7DB-EAB3-4C49-873F-43E19E1E5BE4}">
    <text>Maintenance costs are estimated to range between 15% and 40% of total production costs --&gt; used 15% as basis</text>
  </threadedComment>
  <threadedComment ref="C53" dT="2021-11-30T21:59:41.41" personId="{317111CC-943F-45E4-A021-49E6B608E403}" id="{4BE172E1-0FD9-4FED-AF59-65431B45FDCD}" parentId="{9360F7DB-EAB3-4C49-873F-43E19E1E5BE4}">
    <text xml:space="preserve">https://www.onupkeep.com/learning/maintenance-metrics/maintenance-statistics 
</text>
  </threadedComment>
</ThreadedComments>
</file>

<file path=xl/threadedComments/threadedComment4.xml><?xml version="1.0" encoding="utf-8"?>
<ThreadedComments xmlns="http://schemas.microsoft.com/office/spreadsheetml/2018/threadedcomments" xmlns:x="http://schemas.openxmlformats.org/spreadsheetml/2006/main">
  <threadedComment ref="H22" dT="2021-11-09T05:57:22.20" personId="{A9E97ABC-8D26-D44C-BC81-8A1CA9327128}" id="{8E15EA1D-2AF1-9C46-A3F4-D070226CD0B3}">
    <text>https://www.childstats.gov/americaschildren/tables/pop1.asp</text>
  </threadedComment>
  <threadedComment ref="K22" dT="2021-11-09T06:28:57.45" personId="{A9E97ABC-8D26-D44C-BC81-8A1CA9327128}" id="{84103161-E512-3D46-89A0-96E600B5D741}">
    <text>https://www.statista.com/statistics/758502/percentage-distribution-of-household-income-in-the-us/</text>
  </threadedComment>
  <threadedComment ref="P23" dT="2021-11-08T01:41:12.00" personId="{A9E97ABC-8D26-D44C-BC81-8A1CA9327128}" id="{B5194695-40C9-984F-B1C7-A6B250BFE304}">
    <text>https://www.marketresearch.com/QYResearch-Group-v3531/Global-United-States-Educational-Toys-14453419/</text>
  </threadedComment>
</ThreadedComments>
</file>

<file path=xl/threadedComments/threadedComment5.xml><?xml version="1.0" encoding="utf-8"?>
<ThreadedComments xmlns="http://schemas.microsoft.com/office/spreadsheetml/2018/threadedcomments" xmlns:x="http://schemas.openxmlformats.org/spreadsheetml/2006/main">
  <threadedComment ref="M9" dT="2021-12-05T13:09:07.06" personId="{B0CB385D-5981-4233-9B74-B76E977C4B16}" id="{83CAFCE8-F79B-4765-AAA1-42810C5A9F54}">
    <text>"Classic Operation Game" Amazon. Accessed Dec 5, 2021
https://www.amazon.com/Hasbro-B2176-Classic-Operation-Game/dp/B01JF1VRL0/ref=sr_1_1?crid=3G4XOPW0E52OP&amp;keywords=operation&amp;qid=1636309718&amp;s=toys-and-games&amp;sprefix=operation%2Ctoys-and-games%2C66&amp;sr=1-1</text>
  </threadedComment>
  <threadedComment ref="M10" dT="2021-12-02T12:37:14.38" personId="{A9E97ABC-8D26-D44C-BC81-8A1CA9327128}" id="{D3D49134-C6F8-C84D-9BD4-98559FCB1971}">
    <text xml:space="preserve">“Operation.” Boing! Toy Shop. Accessed December 2, 2021. https://www.boingtoys.com/buy/evere-hbga4053/operation. </text>
  </threadedComment>
  <threadedComment ref="M11" dT="2021-12-02T12:38:00.54" personId="{A9E97ABC-8D26-D44C-BC81-8A1CA9327128}" id="{92784F61-B762-1949-836A-83B4376AE202}">
    <text xml:space="preserve">“Hasbro *BC* Classic Operation 10/15 [HSBB2176].” HobbyTown. Accessed December 2, 2021. https://www.hobbytown.com/hasbro-bc-classic-operation-10-15-hsbb2176/p-xthnhdhqzq2bg4yz. </text>
  </threadedComment>
  <threadedComment ref="M12" dT="2021-12-05T13:10:28.75" personId="{B0CB385D-5981-4233-9B74-B76E977C4B16}" id="{4B96CC60-6108-4473-89B6-0BA397367A26}">
    <text>"Operation Board Game" Target.  Accessed Dec 5, 2021
https://www.target.com/p/operation-board-game/-/A-10855290?ref=tgt_adv_XS000000&amp;AFID=google_pla_df&amp;fndsrc=tgtao&amp;DFA=71700000014851607&amp;CPNG=PLA_Toys%2BShopping_Brand%7CToys_Ecomm_Hardlines&amp;adgroup=SC_Toys&amp;LID=700000001170770pgs&amp;LNM=PRODUCT_GROUP&amp;network=g&amp;device=c&amp;location=9061331&amp;targetid=pla-82462125649&amp;ds_rl=1246978&amp;ds_rl=1248099&amp;gclid=Cj0KCQjw8p2MBhCiARIsADDUFVFCotcoE0PnxnI5fqs6jcekAYS3Q_Rn4lZvVUau_Zc_xb2vRqldyFwaAt5uEALw_wcB&amp;gclsrc=aw.ds</text>
  </threadedComment>
  <threadedComment ref="M15" dT="2021-12-05T13:12:02.29" personId="{B0CB385D-5981-4233-9B74-B76E977C4B16}" id="{2F72EC73-069E-4DDF-995A-B1B657E02924}">
    <text>"Melissa and Doug Get well Doctor's Kit" Amazon. Accessed Dec 4, 2021
https://www.amazon.com/Melissa-Doug-Doctors-Original-Pieces/dp/B07VNB8BV9</text>
  </threadedComment>
  <threadedComment ref="M16" dT="2021-12-05T13:06:02.76" personId="{B0CB385D-5981-4233-9B74-B76E977C4B16}" id="{723EC4DD-049B-4B5B-B4C0-7EABBF4F1565}">
    <text>"Melissa and Doug's Get Well Doctor's Kit" Go Bananas!. Accessed Dec 4, 2021.
https://www.gobananastoys.com/043130/melissa-doug-get-well-first-aid-playset</text>
  </threadedComment>
  <threadedComment ref="M17" dT="2021-12-05T12:46:55.08" personId="{B0CB385D-5981-4233-9B74-B76E977C4B16}" id="{27519AD3-3A06-4F31-9610-FCD87D23F21E}">
    <text>"Melissa and Doug Get Well Doctors Kit" Macy's. Accessed- Dec 4, 2021
https://www.macys.com/shop/product/melissa-doug-get-well-doctors-kit-play-set?ID=10813351&amp;pla_country=US&amp;CAGPSPN=pla&amp;cm_mmc=Google_SH_PLA_Tabletop-_-GS_Toys_PLA_Restructure_Melissa_And_Doug-_-520701577387-_-pg1052209566_c_kclickid_f7c78a09-7cad-4984-b69c-f0d33401d0b3_KID_EMPTY_13050342700_121382504119_520701577387_pla-1259091348683_772085694USA__c_KID_&amp;trackingid=509x1052209566&amp;m_sc=sem&amp;m_sb=Google&amp;m_tp=PLA&amp;m_ac=Google_SH_PLA_Tabletop&amp;m_ag=MelissaAndDoug&amp;m_cn=GS_Toys_PLA_Restructure&amp;m_pi=go_cmp-13050342700_adg-121382504119_ad-520701577387_pla-1259091348683_dev-c_ext-_prd-772085694USA&amp;gclid=Cj0KCQiA-qGNBhD3ARIsAO_o7ymQ_ZpPs1whC1w20jiqdAkltuLNQCO9Hl3hnb59wMKsW385xLBCqLcaAlBLEALw_wcB</text>
  </threadedComment>
  <threadedComment ref="M18" dT="2021-12-05T12:47:14.41" personId="{B0CB385D-5981-4233-9B74-B76E977C4B16}" id="{B6BD121F-3423-423D-B906-E06029255138}">
    <text>"Melissa and Doug Get Well Doctor's Kit"
Target. Accessed Dec 4, 2021
https://www.target.com/p/melissa-38-doug-get-well-doctor-39-s-kit-play-set/-/A-76627229?ref=tgt_adv_XS000000&amp;AFID=google_pla_df&amp;fndsrc=tgtao&amp;DFA=71700000012732838&amp;CPNG=PLA_Toys%2BShopping_Local%7CToys_Ecomm_Hardlines&amp;adgroup=SC_Toys&amp;LID=700000001170770pgs&amp;LNM=PRODUCT_GROUP&amp;network=g&amp;device=c&amp;location=1018127&amp;targetid=pla-775539929267&amp;ds_rl=1246978&amp;ds_rl=1248099&amp;gclid=Cj0KCQiA-qGNBhD3ARIsAO_o7ykJbomDD3z8hYnx9K5tX8XgiSEEssuYhBj6t7hX8cgF6gj7D6vV_TAaAmNKEALw_wcB&amp;gclsrc=aw.ds</text>
  </threadedComment>
  <threadedComment ref="M21" dT="2021-12-05T13:20:29.62" personId="{B0CB385D-5981-4233-9B74-B76E977C4B16}" id="{3B8EA73D-0DF0-4D7C-AF0B-0D1C099A163D}">
    <text>"Barbie Baby Doctor Playset with Blonde Doll, 2 Infant Dolls, Exam Table and Accessories, Stethoscope, Chart and Mobile for Ages 3 and Up" Amazon. Accessed Dec 4, 2021
https://www.amazon.com/Barbie-Doctor-Playset-Blonde-Infant/dp/B07XF98T7L/ref=asc_df_B07XF98T7L/?tag=&amp;linkCode=df0&amp;hvadid=416743921177&amp;hvpos=&amp;hvnetw=g&amp;hvrand=16255061840108330811&amp;hvpone=&amp;hvptwo=&amp;hvqmt=&amp;hvdev=c&amp;hvdvcmdl=&amp;hvlocint=&amp;hvlocphy=9001997&amp;hvtargid=pla-843769117613&amp;ref=&amp;adgrpid=96841195627&amp;th=1</text>
  </threadedComment>
  <threadedComment ref="M22" dT="2021-12-05T13:15:04.95" personId="{B0CB385D-5981-4233-9B74-B76E977C4B16}" id="{711BCEB3-79C1-42B9-A6A3-650CB48EE0AD}">
    <text>"Barbie Baby Doctor" Henry Bear's Park. Accessed Dec 5, 2021
https://www.henrybear.com/Barbie-Baby-Doctor-Blonde</text>
  </threadedComment>
  <threadedComment ref="M23" dT="2021-12-05T13:16:47.00" personId="{B0CB385D-5981-4233-9B74-B76E977C4B16}" id="{8CCB2B2F-450E-4B38-B715-A9B0C70C7BF7}">
    <text>"Mattel Barbie Baby Doctor Playset With Blonde Doll, 2 Infant Dolls, Exam Table And Accessories" L&amp;M Fleet Supply. Accessed Dec 5, 2021
https://www.landmsupply.com/mattel-barbie-baby-doctor-playset-with-blonde-doll-2-infant-dolls-exam-table-and-accessories?gclid=CjwKCAiA1aiMBhAUEiwACw25MYViIetoGImNE8WVoO6f-tbVObeHnueC3iW59BWPlYVl6Mk74emsyxoC30wQAvD_BwE</text>
  </threadedComment>
  <threadedComment ref="M24" dT="2021-12-05T13:18:19.06" personId="{B0CB385D-5981-4233-9B74-B76E977C4B16}" id="{59DD4B91-4314-48CF-A448-86276F34733C}">
    <text>"Barbie You Can Be Anything Baby Doctor Blonde Doll and Playset" Target. Accessed Dec 4, 2021
https://www.target.com/p/barbie-you-can-be-anything-baby-doctor-blonde-doll-and-playset/-/A-76623758</text>
  </threadedComment>
  <threadedComment ref="M27" dT="2021-12-05T13:13:56.52" personId="{B0CB385D-5981-4233-9B74-B76E977C4B16}" id="{3C983B9F-5FC3-4A37-BFD2-C2232A1BF70E}">
    <text>"Baby Alive Lulu Achoo Doll, 12-Inch Interactive Doctor Play Toy with Lights, Sounds, Movements and Tools, Kids Ages 3 and Up, Blonde Hair" Amazon. Accessed Dec 4, 2021
Baby Alive Lulu Achoo Doll, 12-Inch Interactive Doctor Play Toy with Lights, Sounds, Movements and Tools, Kids Ages 3 and Up, Blonde Hai</text>
  </threadedComment>
  <threadedComment ref="M29" dT="2021-12-05T13:24:37.85" personId="{B0CB385D-5981-4233-9B74-B76E977C4B16}" id="{F8338CA1-4346-4B31-8BF2-14630012D3DA}">
    <text>"Lulu Achoo Doll" Blain's Farm and Fleet. Accessed Dec 5, 2021
https://www.farmandfleet.com/products/1375467-baby-alive-lulu-achoo-doll.html?blaintm_source=google&amp;blaintm_medium=pla&amp;gclid=CjwKCAiA1aiMBhAUEiwACw25Mb_KUYWAzfPD_6fU-TQHeHaXhtw0hrlmgZd8T6gYA1Kko-Pc1u-kIRoC1JMQAvD_BwE</text>
  </threadedComment>
  <threadedComment ref="M30" dT="2021-12-05T13:25:31.15" personId="{B0CB385D-5981-4233-9B74-B76E977C4B16}" id="{80316291-EF25-4A61-AD49-F2C3E7984D02}">
    <text>"Baby Alive Lulu Achoo Doll, 12-Inch Doctor Play Toy, Sounds, Movements, Brown Hair" Walmart. Accessed Dec 4, 2021
https://www.walmart.com/ip/Baby-Alive-Lulu-Achoo-Doll-12-Inch-Doctor-Play-Toy-Sounds-Movements-Brown-Hair/959006836?wmlspartner=wlpa&amp;selectedSellerId=0</text>
  </threadedComment>
</ThreadedComments>
</file>

<file path=xl/threadedComments/threadedComment6.xml><?xml version="1.0" encoding="utf-8"?>
<ThreadedComments xmlns="http://schemas.microsoft.com/office/spreadsheetml/2018/threadedcomments" xmlns:x="http://schemas.openxmlformats.org/spreadsheetml/2006/main">
  <threadedComment ref="B116" dT="2021-11-05T18:42:44.41" personId="{A9E97ABC-8D26-D44C-BC81-8A1CA9327128}" id="{338CCA17-0A51-464E-8088-0CA68D5CD528}">
    <text>See List of Local Magazines distributed to on page 2: https://secureservercdn.net/166.62.112.107/59m.d99.myftpupload.com/wp-content/uploads/2020/10/PMA-Group-Buy-2020-1-1.pdf</text>
  </threadedComment>
  <threadedComment ref="C116" dT="2021-11-05T18:42:44.41" personId="{A9E97ABC-8D26-D44C-BC81-8A1CA9327128}" id="{DE58146B-E9F7-234D-BA03-FD2C9FC0BAB8}">
    <text>See List of Local Magazines distributed to on page 2: https://secureservercdn.net/166.62.112.107/59m.d99.myftpupload.com/wp-content/uploads/2020/10/PMA-Group-Buy-2020-1-1.pdf</text>
  </threadedComment>
  <threadedComment ref="B165" dT="2021-11-05T18:42:44.41" personId="{A9E97ABC-8D26-D44C-BC81-8A1CA9327128}" id="{8ECAE91A-1C50-3245-AE0C-96D7D28D5728}">
    <text>See List of Local Magazines distributed to on page 2: https://secureservercdn.net/166.62.112.107/59m.d99.myftpupload.com/wp-content/uploads/2020/10/PMA-Group-Buy-2020-1-1.pdf</text>
  </threadedComment>
  <threadedComment ref="C165" dT="2021-11-05T18:42:44.41" personId="{A9E97ABC-8D26-D44C-BC81-8A1CA9327128}" id="{D3CD5CC4-E896-494D-853E-9C55BFF4385F}">
    <text>See List of Local Magazines distributed to on page 2: https://secureservercdn.net/166.62.112.107/59m.d99.myftpupload.com/wp-content/uploads/2020/10/PMA-Group-Buy-2020-1-1.pdf</text>
  </threadedComment>
  <threadedComment ref="B235" dT="2021-11-05T18:42:44.41" personId="{A9E97ABC-8D26-D44C-BC81-8A1CA9327128}" id="{E345E937-455D-1447-BACA-CF4609EFC057}">
    <text>See List of Local Magazines distributed to on page 2: https://secureservercdn.net/166.62.112.107/59m.d99.myftpupload.com/wp-content/uploads/2020/10/PMA-Group-Buy-2020-1-1.pdf</text>
  </threadedComment>
  <threadedComment ref="C235" dT="2021-11-05T18:42:44.41" personId="{A9E97ABC-8D26-D44C-BC81-8A1CA9327128}" id="{88659268-0E28-E64A-82BF-575FB08DDD3A}">
    <text>See List of Local Magazines distributed to on page 2: https://secureservercdn.net/166.62.112.107/59m.d99.myftpupload.com/wp-content/uploads/2020/10/PMA-Group-Buy-2020-1-1.pdf</text>
  </threadedComment>
</ThreadedComments>
</file>

<file path=xl/threadedComments/threadedComment7.xml><?xml version="1.0" encoding="utf-8"?>
<ThreadedComments xmlns="http://schemas.microsoft.com/office/spreadsheetml/2018/threadedcomments" xmlns:x="http://schemas.openxmlformats.org/spreadsheetml/2006/main">
  <threadedComment ref="F7" dT="2021-12-06T16:18:29.14" personId="{05EADCE0-009D-0F49-BEA6-014E88533F74}" id="{BB1C5C95-E954-4FF4-A855-E360581F31D1}">
    <text>Source: https://www.yelp.com/biz/kips-toyland-los-angeles</text>
  </threadedComment>
  <threadedComment ref="H7" dT="2021-12-06T16:22:17.23" personId="{05EADCE0-009D-0F49-BEA6-014E88533F74}" id="{AF634200-CE06-424E-A3F9-B42AA72ACCDE}">
    <text>Source:
https://www.kaspien.com/blog/selling-toys-games-on-amazon-category-overview/#:~:text=According%20to%20documents%20provided%20by,than%20Amazon's%20private%20label%20brands.</text>
  </threadedComment>
  <threadedComment ref="O7" dT="2021-12-06T16:19:18.76" personId="{05EADCE0-009D-0F49-BEA6-014E88533F74}" id="{0592A3F1-E156-4515-B581-A20C80C9FC6D}">
    <text>Source: http://learningexpress.com/franchise/why-learning-express/</text>
  </threadedComment>
  <threadedComment ref="O8" dT="2021-12-06T16:20:00.65" personId="{05EADCE0-009D-0F49-BEA6-014E88533F74}" id="{7DDA47E0-66D4-403B-8F44-687219815776}">
    <text>Source: https://toybook.com/commentary-hobbytown-growing-toy-sales-nationwide/</text>
  </threadedComment>
  <threadedComment ref="O9" dT="2021-12-06T16:20:21.95" personId="{05EADCE0-009D-0F49-BEA6-014E88533F74}" id="{5AEC74B6-5E73-483D-9398-77AAFE93265D}">
    <text>Source:
https://pipecandy.com/companies/fao-schwarz/</text>
  </threadedComment>
  <threadedComment ref="F10" dT="2021-12-06T16:14:31.93" personId="{05EADCE0-009D-0F49-BEA6-014E88533F74}" id="{4F35E6CD-8804-421B-9764-3B92039EC082}">
    <text>Source: https://my.ibisworld.com/us/en/industry-specialized/od6117/competitive-landscape#market-share-concentration</text>
  </threadedComment>
  <threadedComment ref="H12" dT="2021-12-06T16:22:33.69" personId="{05EADCE0-009D-0F49-BEA6-014E88533F74}" id="{F98014A9-252F-4BAC-BA6B-80DD8F263314}">
    <text>Source:
https://www.kaspien.com/blog/selling-toys-games-on-amazon-category-overview/#:~:text=According%20to%20documents%20provided%20by,than%20Amazon's%20private%20label%20brands.</text>
  </threadedComment>
  <threadedComment ref="S12" dT="2021-12-06T15:48:52.93" personId="{A9E97ABC-8D26-D44C-BC81-8A1CA9327128}" id="{E39C9B77-4A8A-E649-B66C-B787DBB5BDE6}">
    <text xml:space="preserve">Smith, By: Craig, Craig Smith, About Craig SmithDMR Publisher. Director of Marketing by day and I run this little site at night. Other interests include Disney, and View all posts by Craig Smith →. “60 Amazing Walmart Statistics and Facts.” DMR, September 7, 2021. https://expandedramblings.com/index.php/walmart-statistics/. </text>
  </threadedComment>
  <threadedComment ref="S13" dT="2021-12-06T15:49:44.89" personId="{A9E97ABC-8D26-D44C-BC81-8A1CA9327128}" id="{FF7E9F1E-0046-294B-8E61-40C151A3E39A}">
    <text xml:space="preserve">Published by                                    Statista Research Department, and May 11. “Number of Target Stores in the U.S. 2020.” Statista, May 11, 2021. https://www.statista.com/statistics/255965/total-number-of-target-stores-in-north-america/. </text>
  </threadedComment>
  <threadedComment ref="F15" dT="2021-12-06T16:17:41.32" personId="{05EADCE0-009D-0F49-BEA6-014E88533F74}" id="{28E39E25-E544-4BF0-A0D8-B930B605A515}">
    <text>Source: https://my.ibisworld.com/us/en/industry-specialized/od6117/competitive-landscape#market-share-concentration</text>
  </threadedComment>
  <threadedComment ref="O17" dT="2021-12-06T16:20:57.30" personId="{05EADCE0-009D-0F49-BEA6-014E88533F74}" id="{3C97055F-F4E1-46F7-B5DC-51A778A20B63}">
    <text>Source:
https://www.yelp.com/biz/kips-toyland-los-angeles</text>
  </threadedComment>
  <threadedComment ref="O18" dT="2021-12-06T16:21:13.87" personId="{05EADCE0-009D-0F49-BEA6-014E88533F74}" id="{0C337AC4-10E6-4E00-B5AD-9AA87E28E1F4}">
    <text>Source: https://www.yelp.com/biz/the-toy-maven-preston-hollow-dallas</text>
  </threadedComment>
  <threadedComment ref="O19" dT="2021-12-06T16:21:34.53" personId="{05EADCE0-009D-0F49-BEA6-014E88533F74}" id="{F2FAD3C5-ED61-49EB-842C-54C297B11F4B}">
    <text>Source:
https://www.yelp.com/biz/toys-that-teach-richmond-2</text>
  </threadedComment>
  <threadedComment ref="F20" dT="2021-12-06T16:17:46.39" personId="{05EADCE0-009D-0F49-BEA6-014E88533F74}" id="{D968D778-40D0-4D4B-B23F-A17EB52D26A8}">
    <text>Source: https://my.ibisworld.com/us/en/industry-specialized/od6117/competitive-landscape#market-share-concentration</text>
  </threadedComment>
  <threadedComment ref="J20" dT="2021-12-06T16:15:12.37" personId="{05EADCE0-009D-0F49-BEA6-014E88533F74}" id="{C7C87DA6-D5F4-4507-9551-D5339D0A1E55}">
    <text>Source: https://www.toyassociation.org/ta/research/data/u-s-sales-data/toys/research-and-data/data/us-sales-data.aspx</text>
  </threadedComment>
  <threadedComment ref="J26" dT="2021-12-06T16:16:53.87" personId="{05EADCE0-009D-0F49-BEA6-014E88533F74}" id="{70A4C1A2-FEE1-499D-86F2-C28BE4F2A385}">
    <text>Source: https://www.toyassociation.org/ta/research/data/u-s-sales-data/toys/research-and-data/data/us-sales-data.aspx</text>
  </threadedComment>
  <threadedComment ref="L26" dT="2021-12-06T16:15:48.34" personId="{05EADCE0-009D-0F49-BEA6-014E88533F74}" id="{C967BC22-1C0F-4C51-B822-5E47CA8F225B}">
    <text>Source: https://www.pymnts.com/whole-paycheck-consumer-spending/2020/amazon-walmart-toy-retail-sales/</text>
  </threadedComment>
  <threadedComment ref="J32" dT="2021-12-06T16:17:03.26" personId="{05EADCE0-009D-0F49-BEA6-014E88533F74}" id="{DA172834-ACD4-4ED4-B6BF-CCF9D25B72B5}">
    <text>Source: https://www.toyassociation.org/ta/research/data/u-s-sales-data/toys/research-and-data/data/us-sales-data.aspx</text>
  </threadedComment>
  <threadedComment ref="L32" dT="2021-12-06T16:17:14.07" personId="{05EADCE0-009D-0F49-BEA6-014E88533F74}" id="{F7E6AEEA-5784-44F8-8986-1C3B768DC056}">
    <text>Source: https://www.pymnts.com/whole-paycheck-consumer-spending/2020/amazon-walmart-toy-retail-sales/</text>
  </threadedComment>
</ThreadedComments>
</file>

<file path=xl/threadedComments/threadedComment8.xml><?xml version="1.0" encoding="utf-8"?>
<ThreadedComments xmlns="http://schemas.microsoft.com/office/spreadsheetml/2018/threadedcomments" xmlns:x="http://schemas.openxmlformats.org/spreadsheetml/2006/main">
  <threadedComment ref="C9" dT="2021-12-06T15:56:27.37" personId="{05EADCE0-009D-0F49-BEA6-014E88533F74}" id="{F169F65B-FE42-4F5B-A854-5D40B1FE6FC4}">
    <text>Source: “Bus Exterior Ads.” Bus Exterior Advertising - Blue Line Media. Accessed December 6, 2021. https://www.bluelinemedia.com/bus-advertising/bus-exterior. </text>
  </threadedComment>
  <threadedComment ref="C22" dT="2021-11-05T18:38:28.21" personId="{A9E97ABC-8D26-D44C-BC81-8A1CA9327128}" id="{CF5EEF84-82C6-444E-A8C4-196A710F0015}">
    <text>&lt;50% because original calculated awareness was too high, adjusted to reflect our segmentation tree</text>
  </threadedComment>
  <threadedComment ref="C22" dT="2021-12-06T16:02:20.72" personId="{A9E97ABC-8D26-D44C-BC81-8A1CA9327128}" id="{7CDEC485-4D26-B14B-84E0-91357CB9DFBA}" parentId="{CF5EEF84-82C6-444E-A8C4-196A710F0015}">
    <text xml:space="preserve">“Mission.” Parent Media Association. Accessed December 6, 2021. https://parentmedia.org/. </text>
  </threadedComment>
  <threadedComment ref="I22" dT="2021-11-05T18:38:28.21" personId="{A9E97ABC-8D26-D44C-BC81-8A1CA9327128}" id="{1190817C-B87B-9C42-A9ED-D5629C96ECC6}">
    <text>&lt;50% because original calculated awareness was too high, adjusted to reflect our segmentation tree</text>
  </threadedComment>
  <threadedComment ref="O22" dT="2021-11-05T18:38:28.21" personId="{A9E97ABC-8D26-D44C-BC81-8A1CA9327128}" id="{34455A06-13F4-4848-8398-09EFADE64903}">
    <text>&lt;50% because original calculated awareness was too high, adjusted to reflect our segmentation tree</text>
  </threadedComment>
  <threadedComment ref="I24" dT="2021-12-06T15:58:43.29" personId="{05EADCE0-009D-0F49-BEA6-014E88533F74}" id="{D3CC6D33-A0B7-490C-8832-18614AA5A938}">
    <text>Source:“PMA Group Buy 2018-19-Updated - Parent Media.” Accessed December 6, 2021. https://parentmedia.org/wp-content/uploads/2019/04/PMA-Group-Buy-2018-19-Updated.pdf. </text>
  </threadedComment>
  <threadedComment ref="O24" dT="2021-12-06T15:59:16.03" personId="{05EADCE0-009D-0F49-BEA6-014E88533F74}" id="{802CF0E0-A8D5-446D-A8E6-8A1AC22ECF10}">
    <text>Source:“PMA Group Buy 2018-19-Updated - Parent Media.” Accessed December 6, 2021. https://parentmedia.org/wp-content/uploads/2019/04/PMA-Group-Buy-2018-19-Updated.pdf. </text>
  </threadedComment>
  <threadedComment ref="V25" dT="2021-12-02T21:43:28.89" personId="{A9E97ABC-8D26-D44C-BC81-8A1CA9327128}" id="{31404C63-012C-CC49-8B5A-4AD2DF8EF48F}">
    <text>https://secureservercdn.net/166.62.112.107/59m.d99.myftpupload.com/wp-content/uploads/2020/10/PMA-Group-Buy-2020-1-1.pdf</text>
  </threadedComment>
  <threadedComment ref="C28" dT="2021-11-05T18:32:51.98" personId="{A9E97ABC-8D26-D44C-BC81-8A1CA9327128}" id="{74F87156-5520-114D-945E-28A5854810BD}">
    <text>PMC sells 3 insertions max, annually. We have adjusted this to 4 ads per year according to Core Adjustments</text>
  </threadedComment>
  <threadedComment ref="C28" dT="2021-11-05T18:34:00.15" personId="{A9E97ABC-8D26-D44C-BC81-8A1CA9327128}" id="{D7823EF2-53A0-4F47-B817-12515E30C0C8}" parentId="{74F87156-5520-114D-945E-28A5854810BD}">
    <text>Source: https://secureservercdn.net/166.62.112.107/59m.d99.myftpupload.com/wp-content/uploads/2020/10/PMA-Group-Buy-2020-1-1.pdf</text>
  </threadedComment>
  <threadedComment ref="I28" dT="2021-11-05T18:32:51.98" personId="{A9E97ABC-8D26-D44C-BC81-8A1CA9327128}" id="{ED956D10-124B-1847-8CBB-141B7F3734C7}">
    <text>PMC sells 3 insertions max, annually. We have adjusted this to 4 ads per year according to Core Adjustments</text>
  </threadedComment>
  <threadedComment ref="I28" dT="2021-11-05T18:34:00.15" personId="{A9E97ABC-8D26-D44C-BC81-8A1CA9327128}" id="{196CD3F3-4F7D-B44E-B0AC-A7640955CA24}" parentId="{ED956D10-124B-1847-8CBB-141B7F3734C7}">
    <text>Source: https://secureservercdn.net/166.62.112.107/59m.d99.myftpupload.com/wp-content/uploads/2020/10/PMA-Group-Buy-2020-1-1.pdf</text>
  </threadedComment>
  <threadedComment ref="O28" dT="2021-11-05T18:32:51.98" personId="{A9E97ABC-8D26-D44C-BC81-8A1CA9327128}" id="{A050E47E-4F21-684B-B102-93AB6D283FCA}">
    <text>PMC sells 3 insertions max, annually. We have adjusted this to 4 ads per year according to Core Adjustments</text>
  </threadedComment>
  <threadedComment ref="O28" dT="2021-11-05T18:34:00.15" personId="{A9E97ABC-8D26-D44C-BC81-8A1CA9327128}" id="{F887F911-777B-6949-B90F-C7D69CE683A9}" parentId="{A050E47E-4F21-684B-B102-93AB6D283FCA}">
    <text>Source: https://secureservercdn.net/166.62.112.107/59m.d99.myftpupload.com/wp-content/uploads/2020/10/PMA-Group-Buy-2020-1-1.pdf</text>
  </threadedComment>
  <threadedComment ref="C46" dT="2021-12-06T16:00:47.72" personId="{05EADCE0-009D-0F49-BEA6-014E88533F74}" id="{38F7C39E-2BD8-41C0-B0FA-EB4DFB942945}">
    <text>Source: https://howtostartanllc.com/business-ideas/bounce-house</text>
  </threadedComment>
  <threadedComment ref="C47" dT="2021-12-06T16:02:20.56" personId="{05EADCE0-009D-0F49-BEA6-014E88533F74}" id="{742E1EE3-BDE2-4E87-93BA-D7548C8BE5CF}">
    <text>Source: https://www.alibaba.com/showroom/advertising-inflatable-doll.html</text>
  </threadedComment>
  <threadedComment ref="C70" dT="2021-12-06T16:11:14.65" personId="{328A3D98-93BA-9244-8DB6-1803B36AC84C}" id="{7A60B3D7-8BE1-434A-A738-A197580597E9}">
    <text>Adner, Zohar. Interview. By Maderlin Weng. 15 November 2021.</text>
  </threadedComment>
  <threadedComment ref="B96" dT="2021-12-06T16:08:17.49" personId="{A9E97ABC-8D26-D44C-BC81-8A1CA9327128}" id="{F8C76991-F16C-5A43-8021-AC2A9CAF21B3}">
    <text xml:space="preserve">“American Airlines® - Find Dallas to New York Flights.” Accessed December 6, 2021. https://www.aa.com/en-us/flights-from-dallas-to-new-york. </text>
  </threadedComment>
  <threadedComment ref="B96" dT="2021-12-06T16:08:27.93" personId="{A9E97ABC-8D26-D44C-BC81-8A1CA9327128}" id="{EBA44F06-5D3E-6D4D-B616-1AE67DD6C2C2}" parentId="{F8C76991-F16C-5A43-8021-AC2A9CAF21B3}">
    <text>flight citation here</text>
  </threadedComment>
  <threadedComment ref="G96" dT="2021-11-23T02:59:45.05" personId="{A9E97ABC-8D26-D44C-BC81-8A1CA9327128}" id="{A93CD5BE-676F-4FEA-B6AE-695E17AA049E}">
    <text>8 hours x 4 days x 2 local employees</text>
  </threadedComment>
  <threadedComment ref="G97" dT="2021-11-23T03:00:16.34" personId="{A9E97ABC-8D26-D44C-BC81-8A1CA9327128}" id="{77C23188-5AC4-4124-8F44-E117CFA65463}">
    <text>hourly rate x 3 days x 8 hours a day x 2 local employees</text>
  </threadedComment>
  <threadedComment ref="G105" dT="2021-11-23T02:59:45.05" personId="{A9E97ABC-8D26-D44C-BC81-8A1CA9327128}" id="{1E495CC3-6874-412A-B4A6-CFA7496E9423}">
    <text>8 hours x 4 days x 2 local employees</text>
  </threadedComment>
  <threadedComment ref="G106" dT="2021-11-23T03:00:16.34" personId="{A9E97ABC-8D26-D44C-BC81-8A1CA9327128}" id="{4E88C04E-9EC2-42C0-8A62-6C550C4EFE82}">
    <text>hourly rate x 3 days x 8 hours a day x 2 local employees</text>
  </threadedComment>
  <threadedComment ref="G114" dT="2021-11-23T02:59:45.05" personId="{A9E97ABC-8D26-D44C-BC81-8A1CA9327128}" id="{5F597FFB-91BC-44C0-8650-BA7A29C92D15}">
    <text>8 hours x 4 days x 2 local employees</text>
  </threadedComment>
  <threadedComment ref="G115" dT="2021-11-23T03:00:16.34" personId="{A9E97ABC-8D26-D44C-BC81-8A1CA9327128}" id="{4D59EF80-5EB9-463E-A4D0-D18DD451FC49}">
    <text>hourly rate x 3 days x 8 hours a day x 2 local employees</text>
  </threadedComment>
  <threadedComment ref="G126" dT="2021-11-23T02:59:45.05" personId="{A9E97ABC-8D26-D44C-BC81-8A1CA9327128}" id="{7749A080-3F48-4D77-AAC3-6502077E2A0F}">
    <text>8 hours x 4 days x 2 local employees</text>
  </threadedComment>
  <threadedComment ref="G127" dT="2021-11-23T03:00:16.34" personId="{A9E97ABC-8D26-D44C-BC81-8A1CA9327128}" id="{69786D51-8DF9-4E97-9700-8A9C4E2A1FBF}">
    <text>hourly rate x 3 days x 8 hours a day x 2 local employees</text>
  </threadedComment>
  <threadedComment ref="I131" dT="2021-11-23T02:57:22.03" personId="{A9E97ABC-8D26-D44C-BC81-8A1CA9327128}" id="{DDC05DA1-37E6-4647-8E0B-944201EFF092}">
    <text>2 hours x $90 per hour to rent the space</text>
  </threadedComment>
  <threadedComment ref="D163" dT="2021-12-02T16:45:36.10" personId="{328A3D98-93BA-9244-8DB6-1803B36AC84C}" id="{A37C16FF-CCEC-7447-8D5B-506F5119EBF0}">
    <text>the awareness for WOM is on the IMC plan tab will be different from what’s seen here since it’s a circular reference. will be using the units sold on E131: y2=0.44%</text>
  </threadedComment>
  <threadedComment ref="D199" dT="2021-12-06T16:09:21.30" personId="{05EADCE0-009D-0F49-BEA6-014E88533F74}" id="{ABCCEE65-453F-4C34-8B78-F8B197A03D98}">
    <text>Source:https://exhibitsusa.com/average-costs-to-display-attend-trade-shows#:~:text=Budget%20for%20the%20Actual%20Trade,cost%20between%20%2440%2C000%20and%20%2460%2C000.</text>
  </threadedComment>
  <threadedComment ref="D204" dT="2021-12-06T16:11:07.49" personId="{05EADCE0-009D-0F49-BEA6-014E88533F74}" id="{198FF6EA-D696-4730-8020-D048BBFFE24A}">
    <text>Source: “The Toy Book • the Leading Trade Publication for the Toy ...” Accessed December 6, 2021. https://toybook.com/.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hyperlink" Target="https://maycointernational.com/blog/commercial-plastic-recycling-how-your-company-can-profit-by-recycling-scrap-plastic/"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bestbuy.com/site/hp-officejet-pro-9025e-wireless-all-in-one-inkjet-printer-with-6-months-of-instant-ink-included-with-hp-white/6450665.p?skuId=6450665" TargetMode="External"/><Relationship Id="rId7" Type="http://schemas.openxmlformats.org/officeDocument/2006/relationships/hyperlink" Target="https://www.stellaroneconsulting.com/growth-plan-sap-business-one-cloud-erp-software-implementation-price-calculator?hsCtaTracking=fca3ff27-f0b3-4b75-a0c1-e5360ebf9a42%7C9777e39b-4866-4d31-9a64-cc1176c4ac33" TargetMode="External"/><Relationship Id="rId2" Type="http://schemas.openxmlformats.org/officeDocument/2006/relationships/hyperlink" Target="https://www.bestbuy.com/site/dell-inspiron-3880-desktop-intel-core-i5-12gb-memory-256b-ssd-black/6423485.p?skuId=6423485" TargetMode="External"/><Relationship Id="rId1" Type="http://schemas.openxmlformats.org/officeDocument/2006/relationships/hyperlink" Target="https://www.bestbuy.com/site/dell-inspiron-15-6-fhd-touch-screen-laptop-intel-core-i5-8gb-memory-256gb-ssd-black/6447114.p?skuId=6447114" TargetMode="External"/><Relationship Id="rId6" Type="http://schemas.openxmlformats.org/officeDocument/2006/relationships/hyperlink" Target="https://www.wix.com/upgrade/website" TargetMode="External"/><Relationship Id="rId5" Type="http://schemas.openxmlformats.org/officeDocument/2006/relationships/hyperlink" Target="https://www.amazon.com/Blink-Outdoor-Wireless-Security-Camera-5cam/dp/B086DKGCFP/ref=sr_1_3?keywords=security+cameras&amp;qid=1636633699&amp;sr=8-3%20" TargetMode="External"/><Relationship Id="rId4" Type="http://schemas.openxmlformats.org/officeDocument/2006/relationships/hyperlink" Target="https://www.bestbuy.com/site/combo/color-laser-printers/d5ec4eb5-4b49-4b95-b082-53c52303bcdb"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www.webstaurantstore.com/20-x-1000-pallet-wrap-film-stretch-film-70-gauge-case/182DSW03.html" TargetMode="External"/><Relationship Id="rId1" Type="http://schemas.openxmlformats.org/officeDocument/2006/relationships/hyperlink" Target="https://www.uline.com/Product/Detail/H-1815/Pallets/Heat-Treated-Wood-Pallet-72-x-48"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www.schooloutfitters.com/catalog/product_info/pfam_id/PFAM34837/products_id/PRO46215?sc_cid=Google_NOR-RCE3672C&amp;adtype=pla&amp;kw=&amp;gclid=Cj0KCQjwrJOMBhCZARIsAGEd4VFoXIfytG-QJdQW7UJOMZh1SZXKfBvuUciXILd4cL6tYCIZom2zyn8aAt5FEALw_wcB" TargetMode="External"/><Relationship Id="rId13" Type="http://schemas.openxmlformats.org/officeDocument/2006/relationships/vmlDrawing" Target="../drawings/vmlDrawing4.vml"/><Relationship Id="rId3" Type="http://schemas.openxmlformats.org/officeDocument/2006/relationships/hyperlink" Target="https://www.singer.com/Heavy-Duty-4452-Sewing-Machine" TargetMode="External"/><Relationship Id="rId7" Type="http://schemas.openxmlformats.org/officeDocument/2006/relationships/hyperlink" Target="https://www.globalindustrial.com/p/60-x-30-adjustable-height-industrial-workbench?infoParam.campaignId=T9F&amp;gclid=Cj0KCQjwrJOMBhCZARIsAGEd4VFqcrb363ToPAgyy7-W3Y_byzQb8nJl6CJATX2iKWSsNbpKSvSYtn0aAgb2EALw_wcB" TargetMode="External"/><Relationship Id="rId12" Type="http://schemas.openxmlformats.org/officeDocument/2006/relationships/hyperlink" Target="https://www.uline.com/Product/Detail/H-2645BLU/Bin-Organizers/Shelf-Bin-Organizer-36-x-18-x-39-with-7-x-18-x-4-Blue-Bins?pricode=WA9277&amp;gadtype=pla&amp;id=H-2645BLU&amp;gclid=Cj0KCQjwrJOMBhCZARIsAGEd4VEWaLKa7u3SDzr6_E-AiDjg9L33igdpI6DMKYwRM3ChTH_9r6DGp7caAuiSEALw_wcB&amp;gclsrc=aw.ds" TargetMode="External"/><Relationship Id="rId2" Type="http://schemas.openxmlformats.org/officeDocument/2006/relationships/hyperlink" Target="https://www.hotairtools.com/hot-air-tools/plastic-welding/triac-st-plastic-welding-kit-as-pwk.html" TargetMode="External"/><Relationship Id="rId1" Type="http://schemas.openxmlformats.org/officeDocument/2006/relationships/hyperlink" Target="https://www.webstaurantstore.com/wesco-industrial-products-272272/934272272.html" TargetMode="External"/><Relationship Id="rId6" Type="http://schemas.openxmlformats.org/officeDocument/2006/relationships/hyperlink" Target="https://www.globalindustrial.com/p/mobile-scissor-li-table-330-lb-capacity?infoParam.campaignId=T9F&amp;gclid=CjwKCAiA1aiMBhAUEiwACw25MS5g-ah0j85bk0o_PIN5sJ4PVaNszpllrKkLdhCJ_1tVFNKEsbqX0xoCfOgQAvD_BwE" TargetMode="External"/><Relationship Id="rId11" Type="http://schemas.openxmlformats.org/officeDocument/2006/relationships/hyperlink" Target="https://www.grainger.com/product/3TPA7?ef_id=Cj0KCQjwrJOMBhCZARIsAGEd4VG_Hvy_4JIRQWU_B0fbcpZWajg432mVOUkLrAfd58V31OiB4f7NiF0aAoX3EALw_wcB:G:s&amp;s_kwcid=AL!2966!3!264955916138!!!g!438323478123!&amp;gucid=N:N:PS:Paid:GGL:CSM-2295:4P7A1P:20501231&amp;gclid=Cj0KCQjwrJOMBhCZARIsAGEd4VG_Hvy_4JIRQWU_B0fbcpZWajg432mVOUkLrAfd58V31OiB4f7NiF0aAoX3EALw_wcB&amp;gclsrc=aw.ds" TargetMode="External"/><Relationship Id="rId5" Type="http://schemas.openxmlformats.org/officeDocument/2006/relationships/hyperlink" Target="https://www.alibaba.com/product-detail/Stacker-Semi-Electric-Stacker-1500kg-Capacity_62453964077.html?spm=a2700.galleryofferlist.normal_offer.d_title.1cd470bdg0MFEU&amp;s=p" TargetMode="External"/><Relationship Id="rId15" Type="http://schemas.microsoft.com/office/2017/10/relationships/threadedComment" Target="../threadedComments/threadedComment1.xml"/><Relationship Id="rId10" Type="http://schemas.openxmlformats.org/officeDocument/2006/relationships/hyperlink" Target="https://www.globalindustrial.com/p/folding-aluminum-platform-truck-48-x-24-600-lb-capacity?ref=5" TargetMode="External"/><Relationship Id="rId4" Type="http://schemas.openxmlformats.org/officeDocument/2006/relationships/hyperlink" Target="https://www.walmart.com/ip/Brother-SE600-Combination-Computerized-Sewing-and-Embroidery-Machine/589039436?wmlspartner=wlpa&amp;selectedSellerId=0&amp;&amp;adid=22222222227105412282&amp;wl0=&amp;wl1=g&amp;wl2=c&amp;wl3=233147613778&amp;wl4=pla-438310898767&amp;wl5=1018127&amp;wl6=&amp;wl7=&amp;wl8=&amp;wl9=pla&amp;wl10=8175035&amp;wl11=online&amp;wl12=589039436&amp;veh=sem&amp;gclid=Cj0KCQjwrJOMBhCZARIsAGEd4VGGJ1tRCd-dQCJJPcpxb4nb_wkjPpnPa9MOEPRkKMvLfoQHxSf-NX0aAkNPEALw_wcB&amp;gclsrc=aw.ds" TargetMode="External"/><Relationship Id="rId9" Type="http://schemas.openxmlformats.org/officeDocument/2006/relationships/hyperlink" Target="https://www.dell.com/en-us/work/shop/dell-27-monitor-s2721hsx/apd/210-axkb/monitors-monitor-accessories" TargetMode="External"/><Relationship Id="rId1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3" Type="http://schemas.openxmlformats.org/officeDocument/2006/relationships/hyperlink" Target="https://www.payscale.com/research/US/Job=Injection_Molding_Technician/Hourly_Rate/646c956d/Equipment-Maintenance" TargetMode="External"/><Relationship Id="rId2" Type="http://schemas.openxmlformats.org/officeDocument/2006/relationships/hyperlink" Target="https://www.grainger.com/product/10F727?ef_id=Cj0KCQjwrJOMBhCZARIsAGEd4VHrYEvN0Cq2ORCJZ_dXLD8rIvp3f1n5xOFagRpVjC0egqyG8JWqkDYaAniZEALw_wcB:G:s&amp;s_kwcid=AL!2966!3!264955915865!!!g!439063557338!&amp;gucid=N:N:PS:Paid:GGL:CSM-2295:4P7A1P:20501231&amp;gclid=Cj0KCQjwrJOMBhCZARIsAGEd4VHrYEvN0Cq2ORCJZ_dXLD8rIvp3f1n5xOFagRpVjC0egqyG8JWqkDYaAniZEALw_wcB&amp;gclsrc=aw.ds" TargetMode="External"/><Relationship Id="rId1" Type="http://schemas.openxmlformats.org/officeDocument/2006/relationships/hyperlink" Target="https://www.amazon.com/3-ONE-10038-Multi-Purpose-Pack/dp/B001E5DLNI/ref=asc_df_B00065VGWK/?tag=hyprod-20&amp;linkCode=df0&amp;hvadid=198054161189&amp;hvpos=&amp;hvnetw=g&amp;hvrand=2966820209643910850&amp;hvpone=&amp;hvptwo=&amp;hvqmt=&amp;hvdev=c&amp;hvdvcmdl=&amp;hvlocint=&amp;hvlocphy=9001997&amp;hvtargid=pla-351701236286&amp;th=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www.bookmobile.com/get-a-book-printing-quote-in-ten-seconds/" TargetMode="External"/><Relationship Id="rId13" Type="http://schemas.openxmlformats.org/officeDocument/2006/relationships/hyperlink" Target="https://www.alibaba.com/product-detail/Doll-Wig-Hair-Row-15cm-100cm_1600080638726.html?spm=a2700.details.0.0.1829549bwvGIxPspm=a2700.pc_countrysearch.main07.10.3dd958b87sVolG" TargetMode="External"/><Relationship Id="rId3" Type="http://schemas.openxmlformats.org/officeDocument/2006/relationships/hyperlink" Target="https://www.wawak.com/Thread/Thread-By-Brand/Maxi-Lock/maxi-lock-serger-spun-polyester-thread-tex-27/?sku=SPT443299" TargetMode="External"/><Relationship Id="rId7" Type="http://schemas.openxmlformats.org/officeDocument/2006/relationships/hyperlink" Target="https://www.alibaba.com/product-detail/Led-Diodes-Diode-Light-Ledled-2mm_1600178800964.html?spm=a2700.galleryofferlist.topad_creative.d_image.6da94bc0kKFOFD" TargetMode="External"/><Relationship Id="rId12" Type="http://schemas.openxmlformats.org/officeDocument/2006/relationships/hyperlink" Target="https://www.alibaba.com/product-detail/Factory-Directly-ATmega328p-Microcontroller-Development-Board_1600169255739.html?spm=a2700.12243863.0.0.2ce83e5flfvjRj" TargetMode="External"/><Relationship Id="rId2" Type="http://schemas.openxmlformats.org/officeDocument/2006/relationships/hyperlink" Target="https://www.zoro.com/3m-contactadhesive-multi-purpose-1qt-yellow-10/i/G2335225/" TargetMode="External"/><Relationship Id="rId16" Type="http://schemas.openxmlformats.org/officeDocument/2006/relationships/hyperlink" Target="https://qzxmxcl.en.alibaba.com/?spm=a2700.12243863.0.0.38403e5frJ9Ggu" TargetMode="External"/><Relationship Id="rId1" Type="http://schemas.openxmlformats.org/officeDocument/2006/relationships/hyperlink" Target="https://www.richengtex.com/contactus.html" TargetMode="External"/><Relationship Id="rId6" Type="http://schemas.openxmlformats.org/officeDocument/2006/relationships/hyperlink" Target="https://bulkwire.com/stranded-hookup-wire-300volt-ul1007" TargetMode="External"/><Relationship Id="rId11" Type="http://schemas.openxmlformats.org/officeDocument/2006/relationships/hyperlink" Target="https://www.alibaba.com/product-detail/5-5mm-tiny-nfc-tags-iso14443A_62132162848.html?spm=a2700.7724857.normal_offer.d_title.54fc48ba9Q0ngc" TargetMode="External"/><Relationship Id="rId5" Type="http://schemas.openxmlformats.org/officeDocument/2006/relationships/hyperlink" Target="https://industrial.sherwin-williams.com/na/us/en/general-industrial/search-results.html?searchterm=plastic" TargetMode="External"/><Relationship Id="rId15" Type="http://schemas.openxmlformats.org/officeDocument/2006/relationships/hyperlink" Target="https://www.uline.com/Product/Detail/S-22651/Corrugated-Boxes-32-ECT/20-x-16-x-6-Lightweight-32-ECT-Corrugated-Boxes" TargetMode="External"/><Relationship Id="rId10" Type="http://schemas.openxmlformats.org/officeDocument/2006/relationships/hyperlink" Target="https://www.alibaba.com/product-detail/long-range-antenna-10km-internal-fm_62424043358.html?mark=google_shopping&amp;seo=1" TargetMode="External"/><Relationship Id="rId4" Type="http://schemas.openxmlformats.org/officeDocument/2006/relationships/hyperlink" Target="https://organiccottonplus.com/collections/fiber/products/stuffing-batting-1-lb-bag" TargetMode="External"/><Relationship Id="rId9" Type="http://schemas.openxmlformats.org/officeDocument/2006/relationships/hyperlink" Target="https://www.pololu.com/product/1150" TargetMode="External"/><Relationship Id="rId14" Type="http://schemas.openxmlformats.org/officeDocument/2006/relationships/hyperlink" Target="https://www.te.com/usa-en/product-1825967-1.html?te_bu=Cor&amp;te_type=srch&amp;te_campaign=ggl_usa_cor-ggl-usa-srch-smbmktg-fy22-googlefeed_sma_sma-2210_2&amp;elqCampaignId=115724&amp;mkwid=MwXlQveT%7Cpcrid%7C386964346949%7Cpkw%7C%7Cpmt%7C%7Cpdv%7Cc%7Cslid%7C%7Cproductid%7C1825967-1%7Cpgrid%7C78782457963%7Cptaid%7Cpla-1398991370807%7C&amp;utm_content=MwXlQveT%7Cpcrid%7C386964346949%7Cpkw%7C%7Cpmt%7C%7Cpdv%7Cc%7Cslid%7C%7Cproductid%7C1825967-1%7Cpgrid%7C78782457963%7Cptaid%7Cpla-1398991370807&amp;gclid=CjwKCAjwoP6LBhBlEiwAvCcthAJ9Dwpz4udtbbzbnjxr6kwjpylgFoxoTto4VWMwhTlmHDNDLDGGKRoC0J0QAvD_BwE" TargetMode="External"/></Relationships>
</file>

<file path=xl/worksheets/_rels/sheet20.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4.xml"/></Relationships>
</file>

<file path=xl/worksheets/_rels/sheet23.xml.rels><?xml version="1.0" encoding="UTF-8" standalone="yes"?>
<Relationships xmlns="http://schemas.openxmlformats.org/package/2006/relationships"><Relationship Id="rId8" Type="http://schemas.openxmlformats.org/officeDocument/2006/relationships/hyperlink" Target="https://www.freightquote.com/book/" TargetMode="External"/><Relationship Id="rId3" Type="http://schemas.openxmlformats.org/officeDocument/2006/relationships/hyperlink" Target="https://www.mwpvl.com/html/target.html" TargetMode="External"/><Relationship Id="rId7" Type="http://schemas.openxmlformats.org/officeDocument/2006/relationships/hyperlink" Target="https://www.freightquote.com/book/" TargetMode="External"/><Relationship Id="rId2" Type="http://schemas.openxmlformats.org/officeDocument/2006/relationships/hyperlink" Target="https://www.freightquote.com/book/" TargetMode="External"/><Relationship Id="rId1" Type="http://schemas.openxmlformats.org/officeDocument/2006/relationships/hyperlink" Target="https://www.mwpvl.com/html/walmart.html" TargetMode="External"/><Relationship Id="rId6" Type="http://schemas.openxmlformats.org/officeDocument/2006/relationships/hyperlink" Target="https://www.packair.com/pallet-calculator/" TargetMode="External"/><Relationship Id="rId5" Type="http://schemas.openxmlformats.org/officeDocument/2006/relationships/hyperlink" Target="https://selleressentials.com/amazon/amazon-fulfillment-center-locations/" TargetMode="External"/><Relationship Id="rId4" Type="http://schemas.openxmlformats.org/officeDocument/2006/relationships/hyperlink" Target="https://careers.kohls.com/distribution/locations" TargetMode="External"/><Relationship Id="rId9" Type="http://schemas.openxmlformats.org/officeDocument/2006/relationships/hyperlink" Target="https://www.freightquote.com/book/" TargetMode="External"/></Relationships>
</file>

<file path=xl/worksheets/_rels/sheet24.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25.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7.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7.xml"/><Relationship Id="rId4" Type="http://schemas.microsoft.com/office/2017/10/relationships/threadedComment" Target="../threadedComments/threadedComment6.xml"/></Relationships>
</file>

<file path=xl/worksheets/_rels/sheet30.xml.rels><?xml version="1.0" encoding="UTF-8" standalone="yes"?>
<Relationships xmlns="http://schemas.openxmlformats.org/package/2006/relationships"><Relationship Id="rId3" Type="http://schemas.microsoft.com/office/2017/10/relationships/threadedComment" Target="../threadedComments/threadedComment7.xml"/><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31.xml.rels><?xml version="1.0" encoding="UTF-8" standalone="yes"?>
<Relationships xmlns="http://schemas.openxmlformats.org/package/2006/relationships"><Relationship Id="rId8" Type="http://schemas.openxmlformats.org/officeDocument/2006/relationships/hyperlink" Target="https://toywhisperer.blog/" TargetMode="External"/><Relationship Id="rId3" Type="http://schemas.openxmlformats.org/officeDocument/2006/relationships/hyperlink" Target="https://savvysassymoms.com/" TargetMode="External"/><Relationship Id="rId7" Type="http://schemas.openxmlformats.org/officeDocument/2006/relationships/hyperlink" Target="https://www.thetoyinsider.com/" TargetMode="External"/><Relationship Id="rId2" Type="http://schemas.openxmlformats.org/officeDocument/2006/relationships/hyperlink" Target="https://mommyonpurpose.com/" TargetMode="External"/><Relationship Id="rId1" Type="http://schemas.openxmlformats.org/officeDocument/2006/relationships/hyperlink" Target="https://www.workingmother.com/" TargetMode="External"/><Relationship Id="rId6" Type="http://schemas.openxmlformats.org/officeDocument/2006/relationships/hyperlink" Target="https://www.playopolistoys.com/blog/" TargetMode="External"/><Relationship Id="rId11" Type="http://schemas.microsoft.com/office/2017/10/relationships/threadedComment" Target="../threadedComments/threadedComment8.xml"/><Relationship Id="rId5" Type="http://schemas.openxmlformats.org/officeDocument/2006/relationships/hyperlink" Target="https://www.toy-design.com/" TargetMode="External"/><Relationship Id="rId10" Type="http://schemas.openxmlformats.org/officeDocument/2006/relationships/comments" Target="../comments11.xml"/><Relationship Id="rId4" Type="http://schemas.openxmlformats.org/officeDocument/2006/relationships/hyperlink" Target="https://www.thetoyguy.com/blog/" TargetMode="External"/><Relationship Id="rId9"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43B45-A7BB-384A-9CB1-B9F1DFA0778E}">
  <sheetPr published="0">
    <tabColor theme="7"/>
  </sheetPr>
  <dimension ref="B1:B41"/>
  <sheetViews>
    <sheetView showGridLines="0" workbookViewId="0"/>
  </sheetViews>
  <sheetFormatPr baseColWidth="10" defaultColWidth="11.5" defaultRowHeight="12" x14ac:dyDescent="0.15"/>
  <cols>
    <col min="1" max="1" width="1.83203125" style="1030" customWidth="1"/>
    <col min="2" max="2" width="51.33203125" style="1030" bestFit="1" customWidth="1"/>
    <col min="3" max="16384" width="11.5" style="1030"/>
  </cols>
  <sheetData>
    <row r="1" spans="2:2" s="1031" customFormat="1" ht="13" x14ac:dyDescent="0.15">
      <c r="B1" s="1031" t="s">
        <v>0</v>
      </c>
    </row>
    <row r="3" spans="2:2" x14ac:dyDescent="0.15">
      <c r="B3" s="1361" t="s">
        <v>1</v>
      </c>
    </row>
    <row r="4" spans="2:2" x14ac:dyDescent="0.15">
      <c r="B4" s="1368" t="s">
        <v>2</v>
      </c>
    </row>
    <row r="5" spans="2:2" x14ac:dyDescent="0.15">
      <c r="B5" s="1368" t="s">
        <v>3</v>
      </c>
    </row>
    <row r="6" spans="2:2" x14ac:dyDescent="0.15">
      <c r="B6" s="1368" t="s">
        <v>4</v>
      </c>
    </row>
    <row r="7" spans="2:2" x14ac:dyDescent="0.15">
      <c r="B7" s="1368" t="s">
        <v>5</v>
      </c>
    </row>
    <row r="8" spans="2:2" x14ac:dyDescent="0.15">
      <c r="B8" s="1368" t="s">
        <v>6</v>
      </c>
    </row>
    <row r="9" spans="2:2" x14ac:dyDescent="0.15">
      <c r="B9" s="1368" t="s">
        <v>7</v>
      </c>
    </row>
    <row r="10" spans="2:2" x14ac:dyDescent="0.15">
      <c r="B10" s="1369" t="s">
        <v>8</v>
      </c>
    </row>
    <row r="12" spans="2:2" x14ac:dyDescent="0.15">
      <c r="B12" s="1362" t="s">
        <v>9</v>
      </c>
    </row>
    <row r="13" spans="2:2" x14ac:dyDescent="0.15">
      <c r="B13" s="1368" t="s">
        <v>10</v>
      </c>
    </row>
    <row r="14" spans="2:2" x14ac:dyDescent="0.15">
      <c r="B14" s="1368" t="s">
        <v>11</v>
      </c>
    </row>
    <row r="15" spans="2:2" x14ac:dyDescent="0.15">
      <c r="B15" s="1368" t="s">
        <v>12</v>
      </c>
    </row>
    <row r="16" spans="2:2" x14ac:dyDescent="0.15">
      <c r="B16" s="1368" t="s">
        <v>13</v>
      </c>
    </row>
    <row r="17" spans="2:2" x14ac:dyDescent="0.15">
      <c r="B17" s="1368" t="s">
        <v>14</v>
      </c>
    </row>
    <row r="18" spans="2:2" x14ac:dyDescent="0.15">
      <c r="B18" s="1368" t="s">
        <v>15</v>
      </c>
    </row>
    <row r="19" spans="2:2" x14ac:dyDescent="0.15">
      <c r="B19" s="1368" t="s">
        <v>16</v>
      </c>
    </row>
    <row r="20" spans="2:2" x14ac:dyDescent="0.15">
      <c r="B20" s="1368" t="s">
        <v>17</v>
      </c>
    </row>
    <row r="21" spans="2:2" x14ac:dyDescent="0.15">
      <c r="B21" s="1368" t="s">
        <v>18</v>
      </c>
    </row>
    <row r="22" spans="2:2" x14ac:dyDescent="0.15">
      <c r="B22" s="1368" t="s">
        <v>19</v>
      </c>
    </row>
    <row r="23" spans="2:2" x14ac:dyDescent="0.15">
      <c r="B23" s="1368" t="s">
        <v>20</v>
      </c>
    </row>
    <row r="24" spans="2:2" x14ac:dyDescent="0.15">
      <c r="B24" s="1368" t="s">
        <v>21</v>
      </c>
    </row>
    <row r="25" spans="2:2" x14ac:dyDescent="0.15">
      <c r="B25" s="1368" t="s">
        <v>22</v>
      </c>
    </row>
    <row r="26" spans="2:2" x14ac:dyDescent="0.15">
      <c r="B26" s="1368" t="s">
        <v>23</v>
      </c>
    </row>
    <row r="27" spans="2:2" x14ac:dyDescent="0.15">
      <c r="B27" s="1368" t="s">
        <v>24</v>
      </c>
    </row>
    <row r="28" spans="2:2" x14ac:dyDescent="0.15">
      <c r="B28" s="1369" t="s">
        <v>25</v>
      </c>
    </row>
    <row r="30" spans="2:2" x14ac:dyDescent="0.15">
      <c r="B30" s="1363" t="s">
        <v>26</v>
      </c>
    </row>
    <row r="31" spans="2:2" x14ac:dyDescent="0.15">
      <c r="B31" s="1368" t="s">
        <v>27</v>
      </c>
    </row>
    <row r="32" spans="2:2" x14ac:dyDescent="0.15">
      <c r="B32" s="1368" t="s">
        <v>28</v>
      </c>
    </row>
    <row r="33" spans="2:2" x14ac:dyDescent="0.15">
      <c r="B33" s="1368" t="s">
        <v>29</v>
      </c>
    </row>
    <row r="34" spans="2:2" x14ac:dyDescent="0.15">
      <c r="B34" s="1368" t="s">
        <v>30</v>
      </c>
    </row>
    <row r="35" spans="2:2" x14ac:dyDescent="0.15">
      <c r="B35" s="1368" t="s">
        <v>31</v>
      </c>
    </row>
    <row r="36" spans="2:2" x14ac:dyDescent="0.15">
      <c r="B36" s="1368" t="s">
        <v>32</v>
      </c>
    </row>
    <row r="37" spans="2:2" x14ac:dyDescent="0.15">
      <c r="B37" s="1368" t="s">
        <v>33</v>
      </c>
    </row>
    <row r="38" spans="2:2" x14ac:dyDescent="0.15">
      <c r="B38" s="1369" t="s">
        <v>34</v>
      </c>
    </row>
    <row r="40" spans="2:2" x14ac:dyDescent="0.15">
      <c r="B40" s="1687" t="s">
        <v>35</v>
      </c>
    </row>
    <row r="41" spans="2:2" x14ac:dyDescent="0.15">
      <c r="B41" s="1369" t="s">
        <v>36</v>
      </c>
    </row>
  </sheetData>
  <hyperlinks>
    <hyperlink ref="B4" location="'FE Assumptions'!A1" display="FE Assumptions" xr:uid="{A9514D3D-198C-4E6B-9C38-40C63973E205}"/>
    <hyperlink ref="B5" location="'FE Income Statement'!A1" display="Income Statement " xr:uid="{E867C077-EEDF-4ACC-BA34-9CF0EFC732AD}"/>
    <hyperlink ref="B6" location="'FE Cash Flow'!A1" display="Cash Flow Statement" xr:uid="{3CDB9FCC-5DDF-40D4-B23C-D41D2FB83A45}"/>
    <hyperlink ref="B7" location="'FE Balance Sheet'!A1" display="Balance Sheet" xr:uid="{02F60AF0-4215-4A92-9554-F7C5F810937C}"/>
    <hyperlink ref="B8" location="'FE CAPM - Comparable Ratios'!A1" display="Discount Rate Calculation / Comparable Company Analysis" xr:uid="{3073951F-0230-403F-B5FD-142C0272F106}"/>
    <hyperlink ref="B9" location="'FE Terminal Value'!A1" display="Terminal Value Calculation" xr:uid="{F26D6F3B-3A02-47A9-8ECC-CED3D9DB6962}"/>
    <hyperlink ref="B10" location="'FE Income Statement Graphs'!A1" display="Income Statement Analysis / Graphs" xr:uid="{D68030E0-7FE4-49E6-AA34-7232F9FDF630}"/>
    <hyperlink ref="B13" location="'OM Assumptions'!A1" display="OM Assumptions" xr:uid="{7B1CDD91-1829-4615-8622-94682AA025B7}"/>
    <hyperlink ref="B14" location="'OM SG&amp;A'!A1" display="Selling, General, and Administrative Costs" xr:uid="{F1D4B346-32E8-4E7F-8C82-77CA5D300A50}"/>
    <hyperlink ref="B15" location="'Time 0 Startup Inventory'!A1" display="Time 0 Start-Up Inventory" xr:uid="{9A3F57D4-9A6F-464D-8B45-E861841A18AC}"/>
    <hyperlink ref="B16" location="'OM Information Systems Expenses'!A1" display="Information Systems Expenses" xr:uid="{AD5F3716-532D-4002-8E0D-EF77E7E74409}"/>
    <hyperlink ref="B17" location="CAPEX!A1" display="CapEx" xr:uid="{B7F235B2-D639-45C2-A8E6-158D08D4C0DA}"/>
    <hyperlink ref="B18" location="'OM MOH'!A1" display="Manufacturing Overhead" xr:uid="{364DE75A-0C2B-4CA1-AA75-6E5C0712635D}"/>
    <hyperlink ref="B19" location="'OM Labor'!A1" display="Labor" xr:uid="{1CD4B239-555A-44D7-8DF3-52CB5EDFA5A3}"/>
    <hyperlink ref="B20" location="'Target Costing'!A1" display="Target Costing" xr:uid="{133726E1-B0CC-4743-9077-9DD9700BF3B2}"/>
    <hyperlink ref="B21" location="'OM Micro Data'!A1" display="Micro Data" xr:uid="{EA0ADFBA-FBF6-4ED9-97A7-BA045FA771BE}"/>
    <hyperlink ref="B22" location="'OM Raw Materials Y1 - Y5'!A1" display="Raw Materials Y1 - Y5" xr:uid="{955F40E7-C48F-4271-9B1B-95A1A233A6BD}"/>
    <hyperlink ref="B23" location="'OM $ Raw Material '!A1" display="OM $ Raw Materials" xr:uid="{32386BE3-7A49-4ED3-82C7-F3EA50792B6C}"/>
    <hyperlink ref="B24" location="'Finished Goods '!A1" display="Finished Goods" xr:uid="{8C1C7128-1578-4BDA-B065-BBC2676B6875}"/>
    <hyperlink ref="B25" location="'Aggregate Planning'!A1" display="Aggregate Planning " xr:uid="{B99D17AC-82A1-4B30-B803-A08149CD27F3}"/>
    <hyperlink ref="B26" location="Capacity!A1" display="Capacity" xr:uid="{3C827394-6D4E-42B4-966B-343F04202639}"/>
    <hyperlink ref="B27" location="'Logistics of Transportation'!A1" display="Logistics of Transportation" xr:uid="{98EFAAB8-2847-4695-8A7C-3960E6BBB435}"/>
    <hyperlink ref="B28" location="'Make Versus Buy Analysis'!A1" display="Make Versus Buy Analysis" xr:uid="{37BE318D-A57B-44E6-BE07-98F88801C564}"/>
    <hyperlink ref="B31" location="'MK Assumptions'!A1" display="MK Assumptions" xr:uid="{83569CCB-492E-4D5F-9EE7-25CA28E5C0DD}"/>
    <hyperlink ref="B32" location="'MK Bases Model (Base Case)'!A1" display="Bases Model (Base Case)" xr:uid="{3BD1D754-D9E6-4D47-804C-C8C3ECEE74A3}"/>
    <hyperlink ref="B33" location="'MK Avg Manf. Selling Price'!A1" display="Average Manufacturing Selling Price" xr:uid="{6B2EBCF1-B824-450C-998E-58C69A5A7ED0}"/>
    <hyperlink ref="B34" location="'MK Purchase Intent and Price'!A1" display="Purchase Intent and Price" xr:uid="{08BC1728-8B5C-46A9-8213-A0CE93FDF712}"/>
    <hyperlink ref="B35" location="'MK IMC Schedule'!A1" display="IMC Schedule " xr:uid="{05A28049-BAA3-4871-B152-D03700B25459}"/>
    <hyperlink ref="B36" location="'MK ACV'!A1" display="ACV" xr:uid="{48506FFE-8FD9-4E92-B2BF-2B13AD428DF4}"/>
    <hyperlink ref="B37" location="'MK IMC Calculations'!A1" display="IMC Calculations" xr:uid="{1F19455D-F436-4095-90A1-087E0E77D02A}"/>
    <hyperlink ref="B38" location="'MK BASES For Segment Size'!A1" display="Bases for Segment Size" xr:uid="{6B4EB925-790D-4F02-922E-AA42664AB20C}"/>
    <hyperlink ref="B41" location="'FE MK OM Bases_Y1-Y5'!A1" display="Bases Model Y1 - Y5" xr:uid="{D1E570A2-0B5D-46DA-91FE-FAB3736BF673}"/>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966B6-8860-41E4-B34B-72FC46FE9F13}">
  <sheetPr published="0">
    <tabColor rgb="FF00B050"/>
    <pageSetUpPr fitToPage="1"/>
  </sheetPr>
  <dimension ref="A1:O1048562"/>
  <sheetViews>
    <sheetView showGridLines="0" zoomScale="90" zoomScaleNormal="90" workbookViewId="0">
      <pane ySplit="3" topLeftCell="A113" activePane="bottomLeft" state="frozen"/>
      <selection pane="bottomLeft"/>
    </sheetView>
  </sheetViews>
  <sheetFormatPr baseColWidth="10" defaultColWidth="8.5" defaultRowHeight="15" x14ac:dyDescent="0.2"/>
  <cols>
    <col min="1" max="1" width="1.83203125" style="233" customWidth="1"/>
    <col min="2" max="2" width="75.83203125" style="309" customWidth="1"/>
    <col min="3" max="8" width="14.83203125" style="298" customWidth="1"/>
    <col min="9" max="10" width="8.5" style="233"/>
    <col min="11" max="11" width="10.6640625" style="233" bestFit="1" customWidth="1"/>
    <col min="12" max="12" width="8.5" style="233"/>
    <col min="13" max="13" width="17.33203125" style="233" customWidth="1"/>
    <col min="14" max="16" width="48.83203125" style="233" customWidth="1"/>
    <col min="17" max="16384" width="8.5" style="233"/>
  </cols>
  <sheetData>
    <row r="1" spans="1:11" ht="16" x14ac:dyDescent="0.2">
      <c r="A1" s="55"/>
      <c r="B1" s="57" t="s">
        <v>37</v>
      </c>
      <c r="C1" s="239"/>
      <c r="D1" s="299" t="s">
        <v>38</v>
      </c>
      <c r="I1" s="300"/>
      <c r="K1" s="301"/>
    </row>
    <row r="2" spans="1:11" ht="16" x14ac:dyDescent="0.2">
      <c r="B2" s="1365" t="s">
        <v>2</v>
      </c>
      <c r="C2" s="1364"/>
      <c r="D2" s="1364"/>
      <c r="E2" s="1364"/>
      <c r="F2" s="1364"/>
      <c r="G2" s="1364"/>
      <c r="H2" s="1364"/>
      <c r="I2" s="300"/>
      <c r="K2" s="301"/>
    </row>
    <row r="3" spans="1:11" ht="15" customHeight="1" x14ac:dyDescent="0.2">
      <c r="B3" s="304" t="s">
        <v>39</v>
      </c>
      <c r="C3" s="305" t="s">
        <v>40</v>
      </c>
      <c r="D3" s="305" t="s">
        <v>41</v>
      </c>
      <c r="E3" s="305" t="s">
        <v>42</v>
      </c>
      <c r="F3" s="305" t="s">
        <v>43</v>
      </c>
      <c r="G3" s="305" t="s">
        <v>44</v>
      </c>
      <c r="H3" s="305" t="s">
        <v>45</v>
      </c>
      <c r="I3" s="300"/>
      <c r="K3" s="301"/>
    </row>
    <row r="4" spans="1:11" ht="16" x14ac:dyDescent="0.2">
      <c r="B4" s="302" t="s">
        <v>46</v>
      </c>
    </row>
    <row r="5" spans="1:11" ht="16" x14ac:dyDescent="0.2">
      <c r="B5" s="309" t="s">
        <v>47</v>
      </c>
      <c r="C5" s="1798" t="s">
        <v>48</v>
      </c>
      <c r="D5" s="1798"/>
      <c r="E5" s="1798"/>
      <c r="F5" s="1798"/>
      <c r="G5" s="306"/>
    </row>
    <row r="6" spans="1:11" x14ac:dyDescent="0.2">
      <c r="B6" s="307"/>
    </row>
    <row r="7" spans="1:11" ht="16" x14ac:dyDescent="0.2">
      <c r="B7" s="723" t="s">
        <v>49</v>
      </c>
      <c r="C7" s="723"/>
      <c r="D7" s="723"/>
      <c r="E7" s="723"/>
      <c r="F7" s="723"/>
      <c r="G7" s="723"/>
      <c r="H7" s="723"/>
    </row>
    <row r="9" spans="1:11" ht="16" x14ac:dyDescent="0.2">
      <c r="B9" s="368" t="s">
        <v>50</v>
      </c>
      <c r="D9" s="308"/>
    </row>
    <row r="10" spans="1:11" ht="32" x14ac:dyDescent="0.2">
      <c r="B10" s="309" t="s">
        <v>51</v>
      </c>
      <c r="C10" s="772">
        <f>CAPEX!G23</f>
        <v>20613.460000000003</v>
      </c>
    </row>
    <row r="11" spans="1:11" ht="12.75" customHeight="1" x14ac:dyDescent="0.2">
      <c r="C11" s="2"/>
    </row>
    <row r="12" spans="1:11" ht="12.75" customHeight="1" x14ac:dyDescent="0.2">
      <c r="C12" s="2"/>
    </row>
    <row r="13" spans="1:11" ht="16" x14ac:dyDescent="0.2">
      <c r="B13" s="368" t="s">
        <v>52</v>
      </c>
      <c r="C13" s="2"/>
    </row>
    <row r="14" spans="1:11" ht="16" x14ac:dyDescent="0.2">
      <c r="B14" s="309" t="s">
        <v>53</v>
      </c>
      <c r="D14" s="310"/>
      <c r="E14" s="311"/>
      <c r="F14" s="311"/>
      <c r="G14" s="311"/>
      <c r="H14" s="311"/>
      <c r="I14" s="1796"/>
      <c r="J14" s="312"/>
    </row>
    <row r="15" spans="1:11" ht="27" customHeight="1" x14ac:dyDescent="0.2">
      <c r="B15" s="313" t="s">
        <v>54</v>
      </c>
      <c r="C15" s="773">
        <f>'OM Micro Data'!C7/12</f>
        <v>5148.6833138581205</v>
      </c>
      <c r="I15" s="1796"/>
    </row>
    <row r="16" spans="1:11" ht="16" x14ac:dyDescent="0.2">
      <c r="B16" s="313" t="s">
        <v>55</v>
      </c>
      <c r="I16" s="1796"/>
    </row>
    <row r="17" spans="2:13" x14ac:dyDescent="0.2">
      <c r="C17" s="2"/>
    </row>
    <row r="18" spans="2:13" ht="16" x14ac:dyDescent="0.2">
      <c r="B18" s="368" t="s">
        <v>56</v>
      </c>
      <c r="C18" s="2"/>
    </row>
    <row r="19" spans="2:13" ht="16" x14ac:dyDescent="0.2">
      <c r="B19" s="309" t="s">
        <v>57</v>
      </c>
      <c r="C19" s="314">
        <v>20000</v>
      </c>
      <c r="I19" s="315"/>
      <c r="J19" s="315"/>
      <c r="K19" s="316"/>
    </row>
    <row r="20" spans="2:13" ht="16" x14ac:dyDescent="0.2">
      <c r="B20" s="313" t="s">
        <v>58</v>
      </c>
      <c r="C20" s="314">
        <f>'OM Assumptions'!C92*'OM Assumptions'!C89</f>
        <v>439280</v>
      </c>
      <c r="I20" s="315"/>
      <c r="J20" s="315"/>
      <c r="K20" s="316"/>
    </row>
    <row r="21" spans="2:13" ht="16" x14ac:dyDescent="0.2">
      <c r="B21" s="313" t="s">
        <v>59</v>
      </c>
      <c r="C21" s="314">
        <f>('OM Assumptions'!C89*'OM Assumptions'!C91)*(2/12)</f>
        <v>22879.166666666664</v>
      </c>
      <c r="I21" s="315"/>
      <c r="J21" s="315"/>
      <c r="K21" s="316"/>
    </row>
    <row r="22" spans="2:13" ht="16" x14ac:dyDescent="0.2">
      <c r="B22" s="374" t="s">
        <v>60</v>
      </c>
      <c r="C22" s="314">
        <f>'OM Assumptions'!D93</f>
        <v>6232.75</v>
      </c>
      <c r="I22" s="315"/>
      <c r="J22" s="315"/>
      <c r="K22" s="316"/>
    </row>
    <row r="23" spans="2:13" ht="16" x14ac:dyDescent="0.2">
      <c r="B23" s="313" t="s">
        <v>61</v>
      </c>
      <c r="C23" s="314">
        <f>C116</f>
        <v>800</v>
      </c>
      <c r="I23" s="315"/>
      <c r="J23" s="315"/>
      <c r="K23" s="316"/>
    </row>
    <row r="24" spans="2:13" ht="16" x14ac:dyDescent="0.2">
      <c r="B24" s="309" t="s">
        <v>62</v>
      </c>
      <c r="C24" s="769">
        <f>15%*'MK IMC Schedule'!R54</f>
        <v>27340.792800000003</v>
      </c>
      <c r="I24" s="317"/>
      <c r="J24" s="317"/>
      <c r="K24" s="316"/>
    </row>
    <row r="25" spans="2:13" ht="16" x14ac:dyDescent="0.2">
      <c r="B25" s="318" t="s">
        <v>63</v>
      </c>
      <c r="C25" s="319"/>
      <c r="I25" s="1797"/>
      <c r="J25" s="1797"/>
    </row>
    <row r="26" spans="2:13" ht="16" x14ac:dyDescent="0.2">
      <c r="B26" s="302" t="s">
        <v>64</v>
      </c>
      <c r="C26" s="2">
        <f>SUM(C18:C25)</f>
        <v>516532.70946666668</v>
      </c>
    </row>
    <row r="28" spans="2:13" x14ac:dyDescent="0.2">
      <c r="B28" s="1801" t="s">
        <v>65</v>
      </c>
      <c r="C28" s="1801"/>
      <c r="D28" s="1801"/>
      <c r="E28" s="1801"/>
      <c r="F28" s="1801"/>
      <c r="G28" s="1801"/>
      <c r="H28" s="1801"/>
      <c r="I28" s="652" t="s">
        <v>66</v>
      </c>
    </row>
    <row r="29" spans="2:13" x14ac:dyDescent="0.2">
      <c r="B29" s="321"/>
      <c r="C29" s="321"/>
      <c r="D29" s="321"/>
      <c r="E29" s="321"/>
      <c r="F29" s="321"/>
      <c r="G29" s="321"/>
      <c r="H29" s="321"/>
    </row>
    <row r="30" spans="2:13" x14ac:dyDescent="0.2">
      <c r="B30" s="320"/>
      <c r="C30" s="322" t="s">
        <v>67</v>
      </c>
      <c r="D30" s="323"/>
      <c r="E30" s="323"/>
      <c r="F30" s="323"/>
      <c r="G30" s="323"/>
      <c r="H30" s="323"/>
    </row>
    <row r="31" spans="2:13" ht="16" x14ac:dyDescent="0.2">
      <c r="B31" s="368" t="s">
        <v>68</v>
      </c>
      <c r="C31" s="322"/>
      <c r="D31" s="322" t="b">
        <f>D45='MK Bases Model (Base Case)'!C15</f>
        <v>1</v>
      </c>
      <c r="E31" s="322" t="b">
        <f>E45='MK Bases Model (Base Case)'!D15</f>
        <v>1</v>
      </c>
      <c r="F31" s="322" t="b">
        <f>F45='MK Bases Model (Base Case)'!E15</f>
        <v>1</v>
      </c>
      <c r="G31" s="322" t="b">
        <f>G45='MK Bases Model (Base Case)'!F15</f>
        <v>1</v>
      </c>
      <c r="H31" s="322" t="b">
        <f>H45='MK Bases Model (Base Case)'!G15</f>
        <v>1</v>
      </c>
      <c r="I31"/>
      <c r="M31" s="324"/>
    </row>
    <row r="32" spans="2:13" x14ac:dyDescent="0.2">
      <c r="B32" s="976" t="s">
        <v>69</v>
      </c>
      <c r="C32" s="510"/>
      <c r="D32" s="517">
        <f>D$35*'MK ACV'!R18</f>
        <v>777.65714285714296</v>
      </c>
      <c r="E32" s="517">
        <f>E$35*'MK ACV'!R18</f>
        <v>3170.2352941176482</v>
      </c>
      <c r="F32" s="517">
        <f>F$35*'MK ACV'!R18</f>
        <v>7744.1454545454544</v>
      </c>
      <c r="G32" s="517">
        <f>G$35*'MK ACV'!R18</f>
        <v>0</v>
      </c>
      <c r="H32" s="518">
        <f>H$35*'MK ACV'!R18</f>
        <v>0</v>
      </c>
      <c r="I32" s="337"/>
      <c r="J32" s="337"/>
      <c r="K32" s="337"/>
      <c r="L32" s="337"/>
      <c r="M32" s="324"/>
    </row>
    <row r="33" spans="2:13" x14ac:dyDescent="0.2">
      <c r="B33" s="508" t="s">
        <v>70</v>
      </c>
      <c r="C33" s="233"/>
      <c r="D33" s="511">
        <f>D$35*'MK ACV'!R17</f>
        <v>972.07142857142867</v>
      </c>
      <c r="E33" s="511">
        <f>E$35*'MK ACV'!R17</f>
        <v>3962.7941176470599</v>
      </c>
      <c r="F33" s="511">
        <f>F$35*'MK ACV'!R17</f>
        <v>9680.181818181818</v>
      </c>
      <c r="G33" s="511">
        <f>G$35*'MK ACV'!R17</f>
        <v>0</v>
      </c>
      <c r="H33" s="512">
        <f>H$35*'MK ACV'!R17</f>
        <v>0</v>
      </c>
      <c r="I33" s="337"/>
      <c r="J33" s="337"/>
      <c r="K33" s="337"/>
      <c r="L33" s="337"/>
      <c r="M33" s="324"/>
    </row>
    <row r="34" spans="2:13" ht="16" x14ac:dyDescent="0.2">
      <c r="B34" s="509" t="s">
        <v>71</v>
      </c>
      <c r="D34" s="511">
        <f>D$35*'MK ACV'!$R$19</f>
        <v>194.41428571428574</v>
      </c>
      <c r="E34" s="511">
        <f>E$35*'MK ACV'!$R$19</f>
        <v>792.55882352941205</v>
      </c>
      <c r="F34" s="511">
        <f>F$35*'MK ACV'!$R$19</f>
        <v>1936.0363636363636</v>
      </c>
      <c r="G34" s="511">
        <f>G$35*'MK ACV'!R19</f>
        <v>0</v>
      </c>
      <c r="H34" s="512">
        <f>H$35*'MK ACV'!R19</f>
        <v>0</v>
      </c>
      <c r="I34" s="337"/>
      <c r="J34" s="337"/>
      <c r="K34" s="337"/>
      <c r="L34" s="337"/>
      <c r="M34" s="324"/>
    </row>
    <row r="35" spans="2:13" ht="16" x14ac:dyDescent="0.2">
      <c r="B35" s="342" t="s">
        <v>72</v>
      </c>
      <c r="D35" s="352">
        <f>'MK Avg Manf. Selling Price'!C8*'MK Bases Model (Base Case)'!C15</f>
        <v>1944.1428571428573</v>
      </c>
      <c r="E35" s="519">
        <f>'MK ACV'!D12*'MK Bases Model (Base Case)'!D15</f>
        <v>7925.5882352941198</v>
      </c>
      <c r="F35" s="352">
        <f>'MK Avg Manf. Selling Price'!C24*'MK Bases Model (Base Case)'!E15</f>
        <v>19360.363636363636</v>
      </c>
      <c r="G35" s="352">
        <f>'MK Avg Manf. Selling Price'!C33*'MK Bases Model (Base Case)'!F15</f>
        <v>0</v>
      </c>
      <c r="H35" s="520">
        <f>'MK Avg Manf. Selling Price'!C41*'MK Bases Model (Base Case)'!G15</f>
        <v>0</v>
      </c>
      <c r="I35" s="337"/>
      <c r="J35" s="337"/>
      <c r="K35" s="337"/>
      <c r="L35" s="337"/>
      <c r="M35" s="324"/>
    </row>
    <row r="36" spans="2:13" ht="16" x14ac:dyDescent="0.2">
      <c r="B36" s="342" t="s">
        <v>73</v>
      </c>
      <c r="D36" s="352">
        <f>'MK Avg Manf. Selling Price'!C9*'MK Bases Model (Base Case)'!C15</f>
        <v>11664.857142857143</v>
      </c>
      <c r="E36" s="519">
        <f>'MK ACV'!D13*'MK Bases Model (Base Case)'!D15</f>
        <v>19021.411764705885</v>
      </c>
      <c r="F36" s="352">
        <f>'MK Avg Manf. Selling Price'!C25*'MK Bases Model (Base Case)'!E15</f>
        <v>38720.727272727272</v>
      </c>
      <c r="G36" s="352">
        <f>'MK Avg Manf. Selling Price'!C34*'MK Bases Model (Base Case)'!F15</f>
        <v>54141.214794771062</v>
      </c>
      <c r="H36" s="520">
        <f>'MK Avg Manf. Selling Price'!C42*'MK Bases Model (Base Case)'!G15</f>
        <v>61646.909090909081</v>
      </c>
      <c r="I36" s="103"/>
    </row>
    <row r="37" spans="2:13" x14ac:dyDescent="0.2">
      <c r="B37" s="508" t="s">
        <v>74</v>
      </c>
      <c r="D37" s="511">
        <f>D$40*'MK ACV'!R7</f>
        <v>0</v>
      </c>
      <c r="E37" s="511">
        <f>E$40*'MK ACV'!R7</f>
        <v>0</v>
      </c>
      <c r="F37" s="511">
        <f>F$40*'MK ACV'!R7</f>
        <v>0</v>
      </c>
      <c r="G37" s="511">
        <f>G$40*'MK ACV'!S7</f>
        <v>13535.303698692765</v>
      </c>
      <c r="H37" s="1260">
        <f>H$40*'MK ACV'!T7</f>
        <v>17980.348484848484</v>
      </c>
      <c r="I37"/>
    </row>
    <row r="38" spans="2:13" x14ac:dyDescent="0.2">
      <c r="B38" s="508" t="s">
        <v>75</v>
      </c>
      <c r="D38" s="511">
        <f>D$40*'MK ACV'!R9</f>
        <v>0</v>
      </c>
      <c r="E38" s="511">
        <f>E$40*'MK ACV'!R9</f>
        <v>0</v>
      </c>
      <c r="F38" s="511">
        <f>F$40*'MK ACV'!R8</f>
        <v>12906.909090909092</v>
      </c>
      <c r="G38" s="511">
        <f>G$40*'MK ACV'!S8</f>
        <v>10828.242958954213</v>
      </c>
      <c r="H38" s="512">
        <f>H$40*'MK ACV'!T8</f>
        <v>14384.278787878788</v>
      </c>
      <c r="I38" s="298"/>
      <c r="J38" s="298"/>
    </row>
    <row r="39" spans="2:13" ht="16" x14ac:dyDescent="0.2">
      <c r="B39" s="509" t="s">
        <v>76</v>
      </c>
      <c r="D39" s="511">
        <f>D$40*'MK Assumptions'!$R44</f>
        <v>0</v>
      </c>
      <c r="E39" s="511">
        <f>E$40*'MK Assumptions'!$R44</f>
        <v>0</v>
      </c>
      <c r="F39" s="511">
        <f>F$40*'MK Assumptions'!$R44</f>
        <v>0</v>
      </c>
      <c r="G39" s="511">
        <f>G$40*'MK ACV'!S9</f>
        <v>2707.0607397385534</v>
      </c>
      <c r="H39" s="512">
        <f>H$40*'MK ACV'!T9</f>
        <v>3596.0696969696969</v>
      </c>
      <c r="I39"/>
    </row>
    <row r="40" spans="2:13" ht="16" x14ac:dyDescent="0.2">
      <c r="B40" s="342" t="s">
        <v>77</v>
      </c>
      <c r="D40" s="352">
        <v>0</v>
      </c>
      <c r="E40" s="352">
        <v>0</v>
      </c>
      <c r="F40" s="352">
        <f>'MK Avg Manf. Selling Price'!C26*'MK Bases Model (Base Case)'!E15</f>
        <v>12906.909090909092</v>
      </c>
      <c r="G40" s="352">
        <f>'MK Avg Manf. Selling Price'!C35*'MK Bases Model (Base Case)'!F15</f>
        <v>27070.607397385531</v>
      </c>
      <c r="H40" s="520">
        <f>'MK Avg Manf. Selling Price'!C43*'MK Bases Model (Base Case)'!G15</f>
        <v>35960.696969696968</v>
      </c>
      <c r="I40"/>
    </row>
    <row r="41" spans="2:13" x14ac:dyDescent="0.2">
      <c r="B41" s="508" t="s">
        <v>78</v>
      </c>
      <c r="D41" s="511">
        <f>D$44*'MK ACV'!R12</f>
        <v>0</v>
      </c>
      <c r="E41" s="511">
        <f>E$44*'MK ACV'!R12</f>
        <v>0</v>
      </c>
      <c r="F41" s="511">
        <f>F$44*'MK ACV'!R12</f>
        <v>0</v>
      </c>
      <c r="G41" s="511">
        <f>G$44*'MK ACV'!R12</f>
        <v>0</v>
      </c>
      <c r="H41" s="512">
        <f>H$44*'MK ACV'!S12</f>
        <v>35960.696969696968</v>
      </c>
      <c r="I41"/>
    </row>
    <row r="42" spans="2:13" x14ac:dyDescent="0.2">
      <c r="B42" s="508" t="s">
        <v>79</v>
      </c>
      <c r="D42" s="511">
        <f>D$44*'MK ACV'!S13</f>
        <v>0</v>
      </c>
      <c r="E42" s="511">
        <f>E$44*'MK ACV'!S13</f>
        <v>0</v>
      </c>
      <c r="F42" s="511">
        <f>F$44*'MK ACV'!S13</f>
        <v>0</v>
      </c>
      <c r="G42" s="511">
        <f>G$44*'MK ACV'!R13</f>
        <v>40605.9110960783</v>
      </c>
      <c r="H42" s="512">
        <f>H$44*'MK ACV'!S13</f>
        <v>28768.557575757575</v>
      </c>
      <c r="I42"/>
    </row>
    <row r="43" spans="2:13" ht="16" x14ac:dyDescent="0.2">
      <c r="B43" s="509" t="s">
        <v>80</v>
      </c>
      <c r="D43" s="511">
        <f>D$44*'MK ACV'!S14</f>
        <v>0</v>
      </c>
      <c r="E43" s="511">
        <f>E$44*'MK ACV'!S14</f>
        <v>0</v>
      </c>
      <c r="F43" s="511">
        <f>F$44*'MK ACV'!S14</f>
        <v>0</v>
      </c>
      <c r="G43" s="511">
        <f>G$44*'MK ACV'!R14</f>
        <v>0</v>
      </c>
      <c r="H43" s="512">
        <f>H$44*'MK ACV'!S14</f>
        <v>7192.1393939393938</v>
      </c>
      <c r="I43"/>
    </row>
    <row r="44" spans="2:13" ht="16" x14ac:dyDescent="0.2">
      <c r="B44" s="342" t="s">
        <v>81</v>
      </c>
      <c r="C44" s="332"/>
      <c r="D44" s="513">
        <v>0</v>
      </c>
      <c r="E44" s="513">
        <v>0</v>
      </c>
      <c r="F44" s="513">
        <v>0</v>
      </c>
      <c r="G44" s="513">
        <f>'MK Avg Manf. Selling Price'!C36*'MK Bases Model (Base Case)'!F15</f>
        <v>40605.9110960783</v>
      </c>
      <c r="H44" s="521">
        <f>'MK Avg Manf. Selling Price'!C44*'MK Bases Model (Base Case)'!G15</f>
        <v>71921.393939393936</v>
      </c>
      <c r="I44"/>
    </row>
    <row r="45" spans="2:13" ht="16" x14ac:dyDescent="0.2">
      <c r="B45" s="522" t="s">
        <v>82</v>
      </c>
      <c r="C45" s="523" t="s">
        <v>38</v>
      </c>
      <c r="D45" s="1071">
        <f>D35+D36+D40+D44</f>
        <v>13609</v>
      </c>
      <c r="E45" s="1071">
        <f>E35+E36+E40+E44</f>
        <v>26947.000000000004</v>
      </c>
      <c r="F45" s="1071">
        <f>F35+F36+F40+F44</f>
        <v>70988</v>
      </c>
      <c r="G45" s="1071">
        <f>G35+G36+G40+G44</f>
        <v>121817.7332882349</v>
      </c>
      <c r="H45" s="1072">
        <f>H35+H36+H40+H44</f>
        <v>169529</v>
      </c>
      <c r="I45" s="103"/>
    </row>
    <row r="46" spans="2:13" ht="16" x14ac:dyDescent="0.2">
      <c r="B46" s="368" t="s">
        <v>83</v>
      </c>
      <c r="C46" s="673"/>
      <c r="D46" s="978"/>
      <c r="E46" s="978"/>
      <c r="F46" s="978"/>
      <c r="G46" s="978"/>
      <c r="H46" s="978"/>
      <c r="I46" s="673"/>
      <c r="J46" s="673"/>
      <c r="K46" s="673"/>
      <c r="L46" s="673"/>
    </row>
    <row r="47" spans="2:13" ht="16" x14ac:dyDescent="0.2">
      <c r="B47" s="302" t="s">
        <v>84</v>
      </c>
      <c r="C47" s="673"/>
      <c r="D47" s="672">
        <f>D45</f>
        <v>13609</v>
      </c>
      <c r="E47" s="672">
        <f>E45</f>
        <v>26947.000000000004</v>
      </c>
      <c r="F47" s="672">
        <f>F45</f>
        <v>70988</v>
      </c>
      <c r="G47" s="672">
        <f>G45</f>
        <v>121817.7332882349</v>
      </c>
      <c r="H47" s="672">
        <f>H45</f>
        <v>169529</v>
      </c>
      <c r="I47"/>
    </row>
    <row r="48" spans="2:13" ht="16" x14ac:dyDescent="0.2">
      <c r="B48" s="302" t="s">
        <v>85</v>
      </c>
      <c r="C48" s="671"/>
      <c r="D48" s="671">
        <v>1.1666666666666667E-2</v>
      </c>
      <c r="E48" s="671">
        <v>1E-3</v>
      </c>
      <c r="F48" s="671">
        <v>1E-3</v>
      </c>
      <c r="G48" s="671">
        <v>1E-3</v>
      </c>
      <c r="H48" s="671">
        <v>1E-3</v>
      </c>
      <c r="I48"/>
      <c r="K48" s="404"/>
      <c r="L48" s="404"/>
    </row>
    <row r="49" spans="2:12" ht="16" x14ac:dyDescent="0.2">
      <c r="B49" s="674" t="s">
        <v>86</v>
      </c>
      <c r="C49" s="675"/>
      <c r="D49" s="676">
        <f>ROUND(D47*D48,2)</f>
        <v>158.77000000000001</v>
      </c>
      <c r="E49" s="676">
        <f t="shared" ref="E49:H49" si="0">ROUND(E47*E48,2)</f>
        <v>26.95</v>
      </c>
      <c r="F49" s="676">
        <f t="shared" si="0"/>
        <v>70.989999999999995</v>
      </c>
      <c r="G49" s="676">
        <f t="shared" si="0"/>
        <v>121.82</v>
      </c>
      <c r="H49" s="676">
        <f t="shared" si="0"/>
        <v>169.53</v>
      </c>
      <c r="I49"/>
      <c r="K49" s="404"/>
      <c r="L49" s="404"/>
    </row>
    <row r="50" spans="2:12" x14ac:dyDescent="0.2">
      <c r="B50" s="302"/>
      <c r="C50" s="670"/>
      <c r="D50" s="713"/>
      <c r="E50" s="713"/>
      <c r="F50" s="713"/>
      <c r="G50" s="713"/>
      <c r="H50" s="713"/>
      <c r="I50" s="103"/>
      <c r="K50" s="404"/>
      <c r="L50" s="404"/>
    </row>
    <row r="51" spans="2:12" x14ac:dyDescent="0.2">
      <c r="B51" s="302"/>
      <c r="C51" s="336" t="s">
        <v>67</v>
      </c>
      <c r="D51" s="337"/>
      <c r="E51" s="337"/>
      <c r="F51" s="337"/>
      <c r="G51" s="337"/>
      <c r="H51" s="337"/>
      <c r="I51"/>
      <c r="K51" s="404"/>
      <c r="L51" s="404"/>
    </row>
    <row r="52" spans="2:12" ht="16" x14ac:dyDescent="0.2">
      <c r="B52" s="368" t="s">
        <v>87</v>
      </c>
      <c r="C52" s="336"/>
      <c r="D52" s="338" t="b">
        <f>D57='MK Avg Manf. Selling Price'!D12</f>
        <v>1</v>
      </c>
      <c r="E52" s="338" t="b">
        <f>E57='MK Avg Manf. Selling Price'!D20</f>
        <v>1</v>
      </c>
      <c r="F52" s="338" t="b">
        <f>F57='MK Avg Manf. Selling Price'!D28</f>
        <v>1</v>
      </c>
      <c r="G52" s="338" t="b">
        <f>G57='MK Avg Manf. Selling Price'!D37</f>
        <v>1</v>
      </c>
      <c r="H52" s="338" t="b">
        <f>H57='MK Avg Manf. Selling Price'!D45</f>
        <v>1</v>
      </c>
      <c r="I52"/>
      <c r="K52" s="404"/>
      <c r="L52" s="404"/>
    </row>
    <row r="53" spans="2:12" ht="12.75" customHeight="1" x14ac:dyDescent="0.2">
      <c r="B53" s="339" t="s">
        <v>88</v>
      </c>
      <c r="C53" s="340"/>
      <c r="D53" s="341">
        <f>'MK Avg Manf. Selling Price'!D8</f>
        <v>47.724999999999994</v>
      </c>
      <c r="E53" s="341">
        <f>'MK Avg Manf. Selling Price'!D16</f>
        <v>47.724999999999994</v>
      </c>
      <c r="F53" s="341">
        <f>'MK Avg Manf. Selling Price'!D24</f>
        <v>47.724999999999994</v>
      </c>
      <c r="G53" s="341">
        <f>'MK Avg Manf. Selling Price'!D33</f>
        <v>47.724999999999994</v>
      </c>
      <c r="H53" s="341">
        <f>'MK Avg Manf. Selling Price'!D41</f>
        <v>47.724999999999994</v>
      </c>
      <c r="I53"/>
      <c r="K53" s="404"/>
      <c r="L53" s="404"/>
    </row>
    <row r="54" spans="2:12" ht="12.75" customHeight="1" x14ac:dyDescent="0.2">
      <c r="B54" s="342" t="s">
        <v>89</v>
      </c>
      <c r="C54" s="337"/>
      <c r="D54" s="343">
        <f>'MK Avg Manf. Selling Price'!D9</f>
        <v>49.8</v>
      </c>
      <c r="E54" s="343">
        <f>'MK Avg Manf. Selling Price'!D17</f>
        <v>49.8</v>
      </c>
      <c r="F54" s="343">
        <f>'MK Avg Manf. Selling Price'!D25</f>
        <v>49.8</v>
      </c>
      <c r="G54" s="343">
        <f>'MK Avg Manf. Selling Price'!D34</f>
        <v>49.8</v>
      </c>
      <c r="H54" s="343">
        <f>'MK Avg Manf. Selling Price'!D42</f>
        <v>49.8</v>
      </c>
      <c r="I54"/>
      <c r="K54" s="404"/>
      <c r="L54" s="404"/>
    </row>
    <row r="55" spans="2:12" ht="12.75" customHeight="1" x14ac:dyDescent="0.2">
      <c r="B55" s="342" t="s">
        <v>90</v>
      </c>
      <c r="C55" s="337"/>
      <c r="D55" s="343"/>
      <c r="E55" s="343"/>
      <c r="F55" s="343">
        <f>'MK Avg Manf. Selling Price'!D26</f>
        <v>34.129876850707674</v>
      </c>
      <c r="G55" s="343">
        <f>'MK Avg Manf. Selling Price'!D35</f>
        <v>41.714293928642718</v>
      </c>
      <c r="H55" s="343">
        <f>'MK Avg Manf. Selling Price'!D43</f>
        <v>41.714293928642718</v>
      </c>
      <c r="I55"/>
      <c r="K55" s="404"/>
      <c r="L55" s="404"/>
    </row>
    <row r="56" spans="2:12" ht="13" customHeight="1" x14ac:dyDescent="0.2">
      <c r="B56" s="342" t="s">
        <v>91</v>
      </c>
      <c r="C56" s="337"/>
      <c r="D56" s="343"/>
      <c r="E56" s="343"/>
      <c r="F56" s="343"/>
      <c r="G56" s="343">
        <f>'MK Avg Manf. Selling Price'!D36</f>
        <v>41.243035675072498</v>
      </c>
      <c r="H56" s="343">
        <f>'MK Avg Manf. Selling Price'!F44</f>
        <v>68.738392791787504</v>
      </c>
      <c r="I56"/>
      <c r="K56" s="404"/>
      <c r="L56" s="404"/>
    </row>
    <row r="57" spans="2:12" ht="16" x14ac:dyDescent="0.2">
      <c r="B57" s="335" t="s">
        <v>92</v>
      </c>
      <c r="C57" s="344"/>
      <c r="D57" s="345">
        <f>'MK Avg Manf. Selling Price'!D12</f>
        <v>49.503571428571426</v>
      </c>
      <c r="E57" s="345">
        <f>'MK Avg Manf. Selling Price'!D20</f>
        <v>49.189705882352946</v>
      </c>
      <c r="F57" s="345">
        <f>'MK Avg Manf. Selling Price'!D28</f>
        <v>46.384977609219568</v>
      </c>
      <c r="G57" s="345">
        <f>'MK Avg Manf. Selling Price'!D37</f>
        <v>45.150854986944765</v>
      </c>
      <c r="H57" s="345">
        <f>'MK Avg Manf. Selling Price'!D45</f>
        <v>44.454622937924668</v>
      </c>
      <c r="I57"/>
      <c r="K57" s="404"/>
      <c r="L57" s="404"/>
    </row>
    <row r="58" spans="2:12" x14ac:dyDescent="0.2">
      <c r="B58" s="302"/>
      <c r="C58" s="337"/>
      <c r="D58" s="346"/>
      <c r="E58" s="346"/>
      <c r="F58" s="346"/>
      <c r="G58" s="346"/>
      <c r="H58" s="346"/>
      <c r="I58"/>
      <c r="K58" s="404"/>
      <c r="L58" s="404"/>
    </row>
    <row r="59" spans="2:12" x14ac:dyDescent="0.2">
      <c r="B59" s="302"/>
      <c r="C59" s="336" t="s">
        <v>67</v>
      </c>
      <c r="D59" s="337"/>
      <c r="E59" s="337"/>
      <c r="F59" s="337"/>
      <c r="G59" s="337"/>
      <c r="H59" s="337"/>
      <c r="K59" s="404"/>
      <c r="L59" s="404"/>
    </row>
    <row r="60" spans="2:12" ht="16" x14ac:dyDescent="0.2">
      <c r="B60" s="368" t="s">
        <v>93</v>
      </c>
      <c r="C60" s="336" t="b">
        <f>C65='OM Assumptions'!C73+'FE Assumptions'!C62</f>
        <v>1</v>
      </c>
      <c r="D60" s="336" t="b">
        <f>D65='OM Assumptions'!C73+'FE Assumptions'!D62</f>
        <v>1</v>
      </c>
      <c r="E60" s="336" t="b">
        <f>E65='OM Assumptions'!D73+'FE Assumptions'!E62</f>
        <v>1</v>
      </c>
      <c r="F60" s="336" t="b">
        <f>F65='OM Assumptions'!E73+'FE Assumptions'!F62</f>
        <v>1</v>
      </c>
      <c r="G60" s="336" t="b">
        <f>G65='OM Assumptions'!F73+'FE Assumptions'!G62</f>
        <v>1</v>
      </c>
      <c r="H60" s="336" t="b">
        <f>H65='OM Assumptions'!G73+'FE Assumptions'!H62</f>
        <v>1</v>
      </c>
      <c r="K60" s="404"/>
      <c r="L60" s="404"/>
    </row>
    <row r="61" spans="2:12" ht="15" customHeight="1" x14ac:dyDescent="0.2">
      <c r="B61" s="325" t="s">
        <v>94</v>
      </c>
      <c r="C61" s="1043">
        <f>'OM Assumptions'!C69+'OM Assumptions'!C70</f>
        <v>17.888507461010047</v>
      </c>
      <c r="D61" s="1043">
        <f>'OM Assumptions'!C69+'OM Assumptions'!C70</f>
        <v>17.888507461010047</v>
      </c>
      <c r="E61" s="1043">
        <f>'OM Assumptions'!D69+'OM Assumptions'!D70</f>
        <v>18.431625662675589</v>
      </c>
      <c r="F61" s="1043">
        <f>'OM Assumptions'!E69+'OM Assumptions'!E70</f>
        <v>18.177009673028735</v>
      </c>
      <c r="G61" s="1043">
        <f>'OM Assumptions'!F69+'OM Assumptions'!F70</f>
        <v>18.266799039389298</v>
      </c>
      <c r="H61" s="1044">
        <f>'OM Assumptions'!G69+'OM Assumptions'!G70</f>
        <v>18.359282086740674</v>
      </c>
      <c r="K61" s="1058"/>
      <c r="L61" s="404"/>
    </row>
    <row r="62" spans="2:12" ht="16" x14ac:dyDescent="0.2">
      <c r="B62" s="329" t="s">
        <v>95</v>
      </c>
      <c r="C62" s="1045">
        <v>0.53783048927705412</v>
      </c>
      <c r="D62" s="1045">
        <f>'Logistics of Transportation'!K18/'FE Assumptions'!D45</f>
        <v>0.54049404708877369</v>
      </c>
      <c r="E62" s="1045">
        <f>'Logistics of Transportation'!K35/'FE Assumptions'!E45</f>
        <v>0.38279418832431583</v>
      </c>
      <c r="F62" s="1045">
        <f>'Logistics of Transportation'!K51/'FE Assumptions'!F45</f>
        <v>0.69551515307357659</v>
      </c>
      <c r="G62" s="1045">
        <f>'Logistics of Transportation'!K67/'FE Assumptions'!G45</f>
        <v>0.78490827487349002</v>
      </c>
      <c r="H62" s="1045">
        <f>'Logistics of Transportation'!K83/'FE Assumptions'!H45</f>
        <v>1.1154533447545494</v>
      </c>
      <c r="I62" s="653"/>
      <c r="J62" s="315"/>
    </row>
    <row r="63" spans="2:12" ht="16" x14ac:dyDescent="0.2">
      <c r="B63" s="329" t="s">
        <v>96</v>
      </c>
      <c r="C63" s="1045">
        <f t="shared" ref="C63:H63" si="1">SUM(C61:C62)</f>
        <v>18.426337950287103</v>
      </c>
      <c r="D63" s="1045">
        <f t="shared" si="1"/>
        <v>18.429001508098821</v>
      </c>
      <c r="E63" s="1045">
        <f t="shared" si="1"/>
        <v>18.814419850999904</v>
      </c>
      <c r="F63" s="1045">
        <f t="shared" si="1"/>
        <v>18.87252482610231</v>
      </c>
      <c r="G63" s="1045">
        <f t="shared" si="1"/>
        <v>19.051707314262789</v>
      </c>
      <c r="H63" s="1046">
        <f t="shared" si="1"/>
        <v>19.474735431495223</v>
      </c>
    </row>
    <row r="64" spans="2:12" ht="16" x14ac:dyDescent="0.2">
      <c r="B64" s="329" t="s">
        <v>97</v>
      </c>
      <c r="C64" s="1047">
        <f>'OM Assumptions'!C71</f>
        <v>12.485983007193713</v>
      </c>
      <c r="D64" s="1047">
        <f>'OM Assumptions'!C71</f>
        <v>12.485983007193713</v>
      </c>
      <c r="E64" s="1047">
        <f>'OM Assumptions'!D71</f>
        <v>8.1515746024231355</v>
      </c>
      <c r="F64" s="1047">
        <f>'OM Assumptions'!E71</f>
        <v>3.137539910995117</v>
      </c>
      <c r="G64" s="1047">
        <f>'OM Assumptions'!F71</f>
        <v>1.8570397809421535</v>
      </c>
      <c r="H64" s="1048">
        <f>'OM Assumptions'!G71</f>
        <v>1.3521181824736999</v>
      </c>
    </row>
    <row r="65" spans="2:15" ht="16" x14ac:dyDescent="0.2">
      <c r="B65" s="335" t="s">
        <v>98</v>
      </c>
      <c r="C65" s="347">
        <f t="shared" ref="C65:H65" si="2">SUM(C63:C64)</f>
        <v>30.912320957480816</v>
      </c>
      <c r="D65" s="347">
        <f t="shared" si="2"/>
        <v>30.914984515292534</v>
      </c>
      <c r="E65" s="347">
        <f t="shared" si="2"/>
        <v>26.96599445342304</v>
      </c>
      <c r="F65" s="347">
        <f t="shared" si="2"/>
        <v>22.010064737097427</v>
      </c>
      <c r="G65" s="347">
        <f t="shared" si="2"/>
        <v>20.908747095204941</v>
      </c>
      <c r="H65" s="347">
        <f t="shared" si="2"/>
        <v>20.826853613968922</v>
      </c>
      <c r="I65"/>
      <c r="J65"/>
    </row>
    <row r="66" spans="2:15" x14ac:dyDescent="0.2">
      <c r="B66" s="302"/>
      <c r="C66" s="670"/>
      <c r="D66" s="670"/>
      <c r="E66" s="670"/>
      <c r="F66" s="670"/>
      <c r="G66" s="670"/>
      <c r="H66" s="670"/>
      <c r="I66"/>
      <c r="J66"/>
    </row>
    <row r="67" spans="2:15" x14ac:dyDescent="0.2">
      <c r="D67" s="348"/>
      <c r="E67" s="349"/>
      <c r="F67" s="2"/>
      <c r="G67" s="2"/>
      <c r="H67" s="2"/>
    </row>
    <row r="68" spans="2:15" ht="16" x14ac:dyDescent="0.2">
      <c r="B68" s="368" t="s">
        <v>99</v>
      </c>
      <c r="I68"/>
      <c r="J68"/>
      <c r="K68"/>
      <c r="L68"/>
    </row>
    <row r="69" spans="2:15" ht="16" x14ac:dyDescent="0.2">
      <c r="B69" s="983" t="s">
        <v>100</v>
      </c>
      <c r="C69" s="298">
        <f>-'OM Labor'!D11*(160)</f>
        <v>-3735.68</v>
      </c>
      <c r="I69"/>
      <c r="J69"/>
      <c r="K69"/>
      <c r="L69"/>
    </row>
    <row r="70" spans="2:15" ht="16" x14ac:dyDescent="0.2">
      <c r="B70" s="325" t="s">
        <v>101</v>
      </c>
      <c r="C70" s="350"/>
      <c r="D70" s="327"/>
      <c r="E70" s="327">
        <v>0</v>
      </c>
      <c r="F70" s="327">
        <v>0</v>
      </c>
      <c r="G70" s="327">
        <v>0</v>
      </c>
      <c r="H70" s="328">
        <v>0</v>
      </c>
      <c r="I70"/>
      <c r="J70"/>
      <c r="K70"/>
      <c r="L70"/>
      <c r="M70" s="315"/>
      <c r="N70" s="315"/>
      <c r="O70" s="315"/>
    </row>
    <row r="71" spans="2:15" ht="16" x14ac:dyDescent="0.2">
      <c r="B71" s="329" t="s">
        <v>102</v>
      </c>
      <c r="C71" s="351">
        <f>'OM SG&amp;A'!D31</f>
        <v>60883.333333333328</v>
      </c>
      <c r="D71" s="330">
        <f>'OM SG&amp;A'!E31</f>
        <v>483594.8</v>
      </c>
      <c r="E71" s="330">
        <f>'OM SG&amp;A'!F31</f>
        <v>498102.64399999997</v>
      </c>
      <c r="F71" s="330">
        <f>'OM SG&amp;A'!G31</f>
        <v>807176.46204000013</v>
      </c>
      <c r="G71" s="330">
        <f>'OM SG&amp;A'!H31</f>
        <v>970592.05350120005</v>
      </c>
      <c r="H71" s="331">
        <f>'OM SG&amp;A'!I31</f>
        <v>998276.14780623617</v>
      </c>
      <c r="I71"/>
      <c r="J71"/>
      <c r="K71"/>
      <c r="L71"/>
      <c r="M71" s="315"/>
    </row>
    <row r="72" spans="2:15" ht="16" x14ac:dyDescent="0.2">
      <c r="B72" s="329" t="s">
        <v>103</v>
      </c>
      <c r="C72" s="351"/>
      <c r="D72" s="330">
        <f>'MK IMC Schedule'!R54</f>
        <v>182271.95200000002</v>
      </c>
      <c r="E72" s="1059">
        <f>'MK IMC Schedule'!R104</f>
        <v>180588.6</v>
      </c>
      <c r="F72" s="330">
        <f>'MK IMC Schedule'!R154</f>
        <v>265810.08799999999</v>
      </c>
      <c r="G72" s="330">
        <f>'MK IMC Schedule'!R223</f>
        <v>362405.4</v>
      </c>
      <c r="H72" s="331">
        <f>'MK IMC Schedule'!R294</f>
        <v>383749.72639999999</v>
      </c>
      <c r="I72"/>
      <c r="J72"/>
      <c r="K72"/>
      <c r="L72"/>
    </row>
    <row r="73" spans="2:15" ht="16" x14ac:dyDescent="0.2">
      <c r="B73" s="353" t="s">
        <v>104</v>
      </c>
      <c r="C73" s="354"/>
      <c r="D73" s="333">
        <f>(D35*D53)*0.1</f>
        <v>9278.4217857142849</v>
      </c>
      <c r="E73" s="333">
        <f>(E35*E53)*0.1</f>
        <v>37824.869852941185</v>
      </c>
      <c r="F73" s="333">
        <f>((F35*F53)+(F40*F55))*0.1</f>
        <v>136448.4572341461</v>
      </c>
      <c r="G73" s="333">
        <f>((G35*G53)+(G40*G55)+(G44*G56))*0.1</f>
        <v>280394.23137558094</v>
      </c>
      <c r="H73" s="334">
        <f>((H35*H53)+(H40*H55)+(H44*H56))*0.1</f>
        <v>644383.61100117362</v>
      </c>
      <c r="I73"/>
      <c r="J73"/>
      <c r="K73"/>
      <c r="L73"/>
    </row>
    <row r="74" spans="2:15" ht="15" customHeight="1" x14ac:dyDescent="0.2">
      <c r="D74" s="355"/>
      <c r="E74" s="355"/>
      <c r="F74" s="355"/>
      <c r="G74" s="355"/>
      <c r="H74" s="355"/>
      <c r="I74"/>
      <c r="J74"/>
      <c r="K74"/>
      <c r="L74"/>
    </row>
    <row r="75" spans="2:15" ht="15" customHeight="1" x14ac:dyDescent="0.2">
      <c r="D75" s="355"/>
      <c r="E75" s="355"/>
      <c r="F75" s="355"/>
      <c r="G75" s="355"/>
      <c r="H75" s="355"/>
      <c r="I75"/>
      <c r="J75"/>
      <c r="K75"/>
      <c r="L75"/>
    </row>
    <row r="76" spans="2:15" ht="16" x14ac:dyDescent="0.2">
      <c r="B76" s="368" t="s">
        <v>105</v>
      </c>
      <c r="I76"/>
      <c r="J76"/>
      <c r="K76"/>
      <c r="L76"/>
      <c r="M76" s="315"/>
      <c r="N76" s="315"/>
    </row>
    <row r="77" spans="2:15" ht="16" x14ac:dyDescent="0.2">
      <c r="B77" s="309" t="s">
        <v>106</v>
      </c>
      <c r="C77" s="384">
        <f>'OM Information Systems Expenses'!E34</f>
        <v>2425.4</v>
      </c>
      <c r="D77" s="384">
        <f>'OM Information Systems Expenses'!F34</f>
        <v>6573.4</v>
      </c>
      <c r="E77" s="384">
        <f>'OM Information Systems Expenses'!G34</f>
        <v>19173.400000000001</v>
      </c>
      <c r="F77" s="384">
        <f>'OM Information Systems Expenses'!H34</f>
        <v>32469.4</v>
      </c>
      <c r="G77" s="384">
        <f>'OM Information Systems Expenses'!I34</f>
        <v>58017.4</v>
      </c>
      <c r="H77" s="384">
        <f>'OM Information Systems Expenses'!J34</f>
        <v>58017.4</v>
      </c>
      <c r="I77"/>
      <c r="J77"/>
      <c r="K77"/>
      <c r="L77"/>
      <c r="M77" s="315"/>
      <c r="N77" s="315"/>
    </row>
    <row r="78" spans="2:15" ht="16" x14ac:dyDescent="0.2">
      <c r="B78" s="309" t="s">
        <v>107</v>
      </c>
      <c r="C78" s="355">
        <f>'OM Information Systems Expenses'!E18</f>
        <v>7097.94</v>
      </c>
      <c r="D78" s="355">
        <f>'OM Information Systems Expenses'!F18</f>
        <v>130</v>
      </c>
      <c r="E78" s="355">
        <f>'OM Information Systems Expenses'!G18</f>
        <v>0</v>
      </c>
      <c r="F78" s="355">
        <f>'OM Information Systems Expenses'!H18</f>
        <v>1367.95</v>
      </c>
      <c r="G78" s="355">
        <f>'OM Information Systems Expenses'!I18</f>
        <v>130</v>
      </c>
      <c r="H78" s="298">
        <f>'OM Information Systems Expenses'!J18</f>
        <v>0</v>
      </c>
      <c r="I78"/>
      <c r="J78"/>
      <c r="K78"/>
      <c r="L78"/>
      <c r="M78" s="315"/>
      <c r="N78" s="315"/>
    </row>
    <row r="79" spans="2:15" ht="16" x14ac:dyDescent="0.2">
      <c r="B79" s="309" t="s">
        <v>108</v>
      </c>
      <c r="C79" s="355">
        <f>'OM Information Systems Expenses'!E22</f>
        <v>2519.96</v>
      </c>
      <c r="D79" s="355">
        <f>'OM Information Systems Expenses'!F22</f>
        <v>579.99</v>
      </c>
      <c r="E79" s="355">
        <f>'OM Information Systems Expenses'!G22</f>
        <v>0</v>
      </c>
      <c r="F79" s="355">
        <f>'OM Information Systems Expenses'!H22</f>
        <v>1159.98</v>
      </c>
      <c r="G79" s="355">
        <f>'OM Information Systems Expenses'!I22</f>
        <v>1259.98</v>
      </c>
      <c r="H79" s="2">
        <f>'OM Information Systems Expenses'!J22</f>
        <v>0</v>
      </c>
      <c r="I79"/>
      <c r="J79"/>
      <c r="K79"/>
      <c r="L79"/>
      <c r="M79" s="315"/>
      <c r="N79" s="315"/>
    </row>
    <row r="80" spans="2:15" x14ac:dyDescent="0.2">
      <c r="B80"/>
      <c r="C80" s="103"/>
      <c r="D80" s="103"/>
      <c r="E80" s="103"/>
      <c r="F80" s="103"/>
      <c r="G80" s="103"/>
      <c r="H80" s="103"/>
      <c r="I80"/>
      <c r="J80"/>
      <c r="K80"/>
      <c r="L80"/>
      <c r="M80" s="315"/>
      <c r="N80" s="315"/>
    </row>
    <row r="81" spans="2:11" ht="16" x14ac:dyDescent="0.2">
      <c r="B81" s="335" t="s">
        <v>109</v>
      </c>
      <c r="C81" s="356">
        <f>SUM(C70:C78)</f>
        <v>70406.673333333325</v>
      </c>
      <c r="D81" s="356">
        <f t="shared" ref="D81:H81" si="3">SUM(D70:D78)</f>
        <v>681848.57378571434</v>
      </c>
      <c r="E81" s="356">
        <f t="shared" si="3"/>
        <v>735689.51385294111</v>
      </c>
      <c r="F81" s="356">
        <f t="shared" si="3"/>
        <v>1243272.3572741461</v>
      </c>
      <c r="G81" s="356">
        <f t="shared" si="3"/>
        <v>1671539.0848767809</v>
      </c>
      <c r="H81" s="356">
        <f t="shared" si="3"/>
        <v>2084426.8852074095</v>
      </c>
    </row>
    <row r="83" spans="2:11" x14ac:dyDescent="0.2">
      <c r="B83" s="1800" t="s">
        <v>110</v>
      </c>
      <c r="C83" s="1800"/>
      <c r="D83" s="1800"/>
      <c r="E83" s="1800"/>
      <c r="F83" s="1800"/>
      <c r="G83" s="1800"/>
      <c r="H83" s="1800"/>
    </row>
    <row r="84" spans="2:11" x14ac:dyDescent="0.2">
      <c r="B84" s="357"/>
      <c r="C84" s="358"/>
      <c r="D84" s="358"/>
      <c r="E84" s="358"/>
      <c r="F84" s="358"/>
      <c r="G84" s="358"/>
      <c r="H84" s="358"/>
    </row>
    <row r="85" spans="2:11" ht="15.75" customHeight="1" x14ac:dyDescent="0.2">
      <c r="B85" s="359" t="s">
        <v>111</v>
      </c>
      <c r="C85" s="360" t="s">
        <v>112</v>
      </c>
      <c r="D85" s="1799" t="s">
        <v>113</v>
      </c>
      <c r="E85" s="1799"/>
      <c r="F85" s="1799"/>
      <c r="G85" s="1799"/>
      <c r="H85" s="1799"/>
    </row>
    <row r="86" spans="2:11" ht="16" x14ac:dyDescent="0.2">
      <c r="B86" s="361" t="s">
        <v>114</v>
      </c>
      <c r="C86" s="362">
        <f>5</f>
        <v>5</v>
      </c>
      <c r="D86" s="298">
        <f>(D36/D45)*$C$86</f>
        <v>4.2857142857142865</v>
      </c>
      <c r="E86" s="298">
        <f>(E36/E45)*$C$86</f>
        <v>3.5294117647058827</v>
      </c>
      <c r="F86" s="298">
        <f>((F36/F45)*$C$86)</f>
        <v>2.7272727272727271</v>
      </c>
      <c r="G86" s="298">
        <f>(G36/G45)*$C$86</f>
        <v>2.2222222222222223</v>
      </c>
      <c r="H86" s="298">
        <f>(H36/H45)*$C$86</f>
        <v>1.8181818181818179</v>
      </c>
    </row>
    <row r="87" spans="2:11" ht="16" x14ac:dyDescent="0.2">
      <c r="B87" s="361" t="s">
        <v>115</v>
      </c>
      <c r="C87" s="362">
        <f>45</f>
        <v>45</v>
      </c>
      <c r="D87" s="298">
        <f>(D35/D45)*$C$87+(D40/D45)*$C$87+(D44/D45)*$C$87</f>
        <v>6.4285714285714297</v>
      </c>
      <c r="E87" s="298">
        <f>(E35/E45)*$C$87+(E40/E45)*$C$87+(E44/E45)*$C$87</f>
        <v>13.235294117647062</v>
      </c>
      <c r="F87" s="298">
        <f>((F35/F45)*$C$87+(F40/F45)*$C$87+(F44/F45)*$C$87)</f>
        <v>20.454545454545453</v>
      </c>
      <c r="G87" s="298">
        <f>(G35/G45)*$C$87+(G40/G45)*$C$87+(G44/G45)*$C$87</f>
        <v>25</v>
      </c>
      <c r="H87" s="298">
        <f>(H35/H45)*$C$87+(H40/H45)*$C$87+(H44/H45)*$C$87</f>
        <v>28.636363636363633</v>
      </c>
    </row>
    <row r="88" spans="2:11" ht="16" x14ac:dyDescent="0.2">
      <c r="B88" s="385" t="s">
        <v>116</v>
      </c>
      <c r="C88" s="386"/>
      <c r="D88" s="363">
        <f>SUM(D86:D87)</f>
        <v>10.714285714285715</v>
      </c>
      <c r="E88" s="363">
        <f>SUM(E86:E87)</f>
        <v>16.764705882352946</v>
      </c>
      <c r="F88" s="363">
        <f>SUM(F86:F87)</f>
        <v>23.18181818181818</v>
      </c>
      <c r="G88" s="363">
        <f>SUM(G86:G87)</f>
        <v>27.222222222222221</v>
      </c>
      <c r="H88" s="363">
        <f>SUM(H86:H87)</f>
        <v>30.45454545454545</v>
      </c>
    </row>
    <row r="89" spans="2:11" x14ac:dyDescent="0.2">
      <c r="B89" s="361"/>
      <c r="C89" s="362"/>
    </row>
    <row r="90" spans="2:11" x14ac:dyDescent="0.2">
      <c r="B90" s="364"/>
      <c r="C90" s="365"/>
      <c r="D90" s="1799" t="s">
        <v>117</v>
      </c>
      <c r="E90" s="1799"/>
      <c r="F90" s="1799"/>
      <c r="G90" s="1799"/>
      <c r="H90" s="1799"/>
    </row>
    <row r="91" spans="2:11" ht="25" x14ac:dyDescent="0.25">
      <c r="B91" s="361" t="s">
        <v>118</v>
      </c>
      <c r="C91" s="404">
        <f>('OM Raw Materials Y1 - Y5'!$Q$26+'OM Raw Materials Y1 - Y5'!$X$26+'OM Raw Materials Y1 - Y5'!$X$45+'OM Raw Materials Y1 - Y5'!$Q$83+'OM Raw Materials Y1 - Y5'!$X$83+'OM Raw Materials Y1 - Y5'!$C$26+'OM Raw Materials Y1 - Y5'!$J$64+'OM Raw Materials Y1 - Y5'!$Q$64+'OM Raw Materials Y1 - Y5'!$X$64+'OM Raw Materials Y1 - Y5'!$C$83)*(1/12)/'FE Assumptions'!C106</f>
        <v>9.882995824276837E-2</v>
      </c>
      <c r="D91" s="404">
        <f>('OM Raw Materials Y1 - Y5'!Q26+'OM Raw Materials Y1 - Y5'!X26+'OM Raw Materials Y1 - Y5'!X45+'OM Raw Materials Y1 - Y5'!Q83+'OM Raw Materials Y1 - Y5'!X83+'OM Raw Materials Y1 - Y5'!C26+'OM Raw Materials Y1 - Y5'!J64+'OM Raw Materials Y1 - Y5'!Q64+'OM Raw Materials Y1 - Y5'!X64+'OM Raw Materials Y1 - Y5'!C83)*(11/12)/'FE Assumptions'!D106</f>
        <v>9.882995824276837E-2</v>
      </c>
      <c r="E91" s="404">
        <f>('OM Raw Materials Y1 - Y5'!R26+'OM Raw Materials Y1 - Y5'!Y26+'OM Raw Materials Y1 - Y5'!Y45+'OM Raw Materials Y1 - Y5'!R83+'OM Raw Materials Y1 - Y5'!Y83+'OM Raw Materials Y1 - Y5'!D26+'OM Raw Materials Y1 - Y5'!K64+'OM Raw Materials Y1 - Y5'!R64+'OM Raw Materials Y1 - Y5'!Y64+'OM Raw Materials Y1 - Y5'!D83)/'FE Assumptions'!E106</f>
        <v>8.3034243504128649E-2</v>
      </c>
      <c r="F91" s="404">
        <f>('OM Raw Materials Y1 - Y5'!S26+'OM Raw Materials Y1 - Y5'!Z26+'OM Raw Materials Y1 - Y5'!Z45+'OM Raw Materials Y1 - Y5'!S83+'OM Raw Materials Y1 - Y5'!Z83+'OM Raw Materials Y1 - Y5'!E26+'OM Raw Materials Y1 - Y5'!L64+'OM Raw Materials Y1 - Y5'!S64+'OM Raw Materials Y1 - Y5'!Z64+'OM Raw Materials Y1 - Y5'!E83)/'FE Assumptions'!F106</f>
        <v>6.6583700005187652E-2</v>
      </c>
      <c r="G91" s="404">
        <f>('OM Raw Materials Y1 - Y5'!T26+'OM Raw Materials Y1 - Y5'!AA26+'OM Raw Materials Y1 - Y5'!AA45+'OM Raw Materials Y1 - Y5'!T83+'OM Raw Materials Y1 - Y5'!AA83+'OM Raw Materials Y1 - Y5'!F26+'OM Raw Materials Y1 - Y5'!M64+'OM Raw Materials Y1 - Y5'!T64+'OM Raw Materials Y1 - Y5'!AA64+'OM Raw Materials Y1 - Y5'!F83)/'FE Assumptions'!G106</f>
        <v>5.9931167466158619E-2</v>
      </c>
      <c r="H91" s="404">
        <f>('OM Raw Materials Y1 - Y5'!U26+'OM Raw Materials Y1 - Y5'!AB26+'OM Raw Materials Y1 - Y5'!AB45+'OM Raw Materials Y1 - Y5'!U83+'OM Raw Materials Y1 - Y5'!AB83+'OM Raw Materials Y1 - Y5'!G26+'OM Raw Materials Y1 - Y5'!N64+'OM Raw Materials Y1 - Y5'!U64+'OM Raw Materials Y1 - Y5'!AB64+'OM Raw Materials Y1 - Y5'!G83)/'FE Assumptions'!H106</f>
        <v>5.6569252192673745E-2</v>
      </c>
      <c r="K91" s="1686"/>
    </row>
    <row r="92" spans="2:11" ht="16" x14ac:dyDescent="0.2">
      <c r="B92" s="361" t="s">
        <v>119</v>
      </c>
      <c r="C92" s="405">
        <f>('OM Raw Materials Y1 - Y5'!$J$26+'OM Raw Materials Y1 - Y5'!$J$45+'OM Raw Materials Y1 - Y5'!$Q$45+'OM Raw Materials Y1 - Y5'!$C$64+'OM Raw Materials Y1 - Y5'!$J$83+'OM Raw Materials Y1 - Y5'!$C$45)*(1/12)/'FE Assumptions'!C106</f>
        <v>0.90117004175723159</v>
      </c>
      <c r="D92" s="405">
        <f>('OM Raw Materials Y1 - Y5'!$J$26+'OM Raw Materials Y1 - Y5'!$J$45+'OM Raw Materials Y1 - Y5'!$Q$45+'OM Raw Materials Y1 - Y5'!$C$64+'OM Raw Materials Y1 - Y5'!$J$83+'OM Raw Materials Y1 - Y5'!$C$45)*(11/12)/'FE Assumptions'!D106</f>
        <v>0.90117004175723159</v>
      </c>
      <c r="E92" s="405">
        <f>('OM Raw Materials Y1 - Y5'!K26+'OM Raw Materials Y1 - Y5'!K45+'OM Raw Materials Y1 - Y5'!R45+'OM Raw Materials Y1 - Y5'!D64+'OM Raw Materials Y1 - Y5'!K83+'OM Raw Materials Y1 - Y5'!D45)/'FE Assumptions'!E106</f>
        <v>0.91696575649587164</v>
      </c>
      <c r="F92" s="405">
        <f>('OM Raw Materials Y1 - Y5'!L26+'OM Raw Materials Y1 - Y5'!L45+'OM Raw Materials Y1 - Y5'!S45+'OM Raw Materials Y1 - Y5'!E64+'OM Raw Materials Y1 - Y5'!L83+'OM Raw Materials Y1 - Y5'!E45)/'FE Assumptions'!F106</f>
        <v>0.93341629999481213</v>
      </c>
      <c r="G92" s="405">
        <f>('OM Raw Materials Y1 - Y5'!M26+'OM Raw Materials Y1 - Y5'!M45+'OM Raw Materials Y1 - Y5'!T45+'OM Raw Materials Y1 - Y5'!F64+'OM Raw Materials Y1 - Y5'!M83+'OM Raw Materials Y1 - Y5'!F45)/'FE Assumptions'!G106</f>
        <v>0.94006883253384144</v>
      </c>
      <c r="H92" s="405">
        <f>('OM Raw Materials Y1 - Y5'!N26+'OM Raw Materials Y1 - Y5'!N45+'OM Raw Materials Y1 - Y5'!U45+'OM Raw Materials Y1 - Y5'!G64+'OM Raw Materials Y1 - Y5'!N83+'OM Raw Materials Y1 - Y5'!G45)/'FE Assumptions'!H106</f>
        <v>0.94343074780732628</v>
      </c>
      <c r="K92" s="298"/>
    </row>
    <row r="93" spans="2:11" ht="16" x14ac:dyDescent="0.2">
      <c r="B93" s="385" t="s">
        <v>120</v>
      </c>
      <c r="C93" s="596">
        <f t="shared" ref="C93:H93" si="4">SUM(C91:C92)</f>
        <v>1</v>
      </c>
      <c r="D93" s="596">
        <f t="shared" si="4"/>
        <v>1</v>
      </c>
      <c r="E93" s="596">
        <f t="shared" si="4"/>
        <v>1.0000000000000002</v>
      </c>
      <c r="F93" s="596">
        <f t="shared" si="4"/>
        <v>0.99999999999999978</v>
      </c>
      <c r="G93" s="596">
        <f t="shared" si="4"/>
        <v>1</v>
      </c>
      <c r="H93" s="596">
        <f t="shared" si="4"/>
        <v>1</v>
      </c>
      <c r="I93" s="301"/>
    </row>
    <row r="94" spans="2:11" x14ac:dyDescent="0.2">
      <c r="B94" s="361"/>
    </row>
    <row r="95" spans="2:11" x14ac:dyDescent="0.2">
      <c r="B95" s="364"/>
      <c r="C95" s="366" t="s">
        <v>112</v>
      </c>
      <c r="D95" s="1799" t="s">
        <v>113</v>
      </c>
      <c r="E95" s="1799"/>
      <c r="F95" s="1799"/>
      <c r="G95" s="1799"/>
      <c r="H95" s="1799"/>
    </row>
    <row r="96" spans="2:11" ht="16" x14ac:dyDescent="0.2">
      <c r="B96" s="361" t="s">
        <v>121</v>
      </c>
      <c r="C96" s="362">
        <f>30</f>
        <v>30</v>
      </c>
      <c r="D96" s="298">
        <f>D91*$C$96</f>
        <v>2.9648987472830513</v>
      </c>
      <c r="E96" s="298">
        <f>E91*$C$96</f>
        <v>2.4910273051238594</v>
      </c>
      <c r="F96" s="298">
        <f>F91*$C$96</f>
        <v>1.9975110001556295</v>
      </c>
      <c r="G96" s="298">
        <f>G91*$C$96</f>
        <v>1.7979350239847585</v>
      </c>
      <c r="H96" s="298">
        <f>H91*$C$96</f>
        <v>1.6970775657802124</v>
      </c>
    </row>
    <row r="97" spans="2:10" ht="16" x14ac:dyDescent="0.2">
      <c r="B97" s="361" t="s">
        <v>122</v>
      </c>
      <c r="C97" s="362">
        <v>0</v>
      </c>
      <c r="D97" s="298">
        <f>D92*$C$97</f>
        <v>0</v>
      </c>
      <c r="E97" s="298">
        <f>E92*$C$97</f>
        <v>0</v>
      </c>
      <c r="F97" s="298">
        <f>F92*$C$97</f>
        <v>0</v>
      </c>
      <c r="G97" s="298">
        <f>G92*$C$97</f>
        <v>0</v>
      </c>
      <c r="H97" s="298">
        <f>H92*$C$97</f>
        <v>0</v>
      </c>
    </row>
    <row r="98" spans="2:10" ht="16" x14ac:dyDescent="0.2">
      <c r="B98" s="385" t="s">
        <v>116</v>
      </c>
      <c r="C98" s="386"/>
      <c r="D98" s="363">
        <f>SUM(D96:D97)</f>
        <v>2.9648987472830513</v>
      </c>
      <c r="E98" s="363">
        <f>SUM(E96:E97)</f>
        <v>2.4910273051238594</v>
      </c>
      <c r="F98" s="363">
        <f>SUM(F96:F97)</f>
        <v>1.9975110001556295</v>
      </c>
      <c r="G98" s="363">
        <f>SUM(G96:G97)</f>
        <v>1.7979350239847585</v>
      </c>
      <c r="H98" s="363">
        <f>SUM(H96:H97)</f>
        <v>1.6970775657802124</v>
      </c>
    </row>
    <row r="100" spans="2:10" x14ac:dyDescent="0.2">
      <c r="B100" s="364"/>
      <c r="C100" s="366"/>
      <c r="D100" s="1799" t="s">
        <v>113</v>
      </c>
      <c r="E100" s="1799"/>
      <c r="F100" s="1799"/>
      <c r="G100" s="1799"/>
      <c r="H100" s="1799"/>
    </row>
    <row r="101" spans="2:10" ht="15" customHeight="1" x14ac:dyDescent="0.2">
      <c r="B101" s="387" t="s">
        <v>123</v>
      </c>
      <c r="C101" s="363"/>
      <c r="D101" s="388">
        <f>'OM Micro Data'!C21</f>
        <v>79.477439448774803</v>
      </c>
      <c r="E101" s="388">
        <f>'OM Micro Data'!C39</f>
        <v>81.45832985317756</v>
      </c>
      <c r="F101" s="388">
        <f>'OM Micro Data'!C58</f>
        <v>88.39166343598788</v>
      </c>
      <c r="G101" s="388">
        <f>'OM Micro Data'!C77</f>
        <v>89.477538337813186</v>
      </c>
      <c r="H101" s="388">
        <f>'OM Micro Data'!C96</f>
        <v>89.524076189927001</v>
      </c>
    </row>
    <row r="103" spans="2:10" ht="16" x14ac:dyDescent="0.2">
      <c r="B103" s="401" t="s">
        <v>124</v>
      </c>
      <c r="C103" s="326"/>
      <c r="D103" s="326">
        <f>D101-D88</f>
        <v>68.763153734489094</v>
      </c>
      <c r="E103" s="326">
        <f>E101-E88</f>
        <v>64.693623970824618</v>
      </c>
      <c r="F103" s="326">
        <f>F101-F88</f>
        <v>65.209845254169693</v>
      </c>
      <c r="G103" s="326">
        <f>G101-G88</f>
        <v>62.255316115590965</v>
      </c>
      <c r="H103" s="377">
        <f>H101-H88</f>
        <v>59.069530735381548</v>
      </c>
    </row>
    <row r="104" spans="2:10" ht="16" x14ac:dyDescent="0.2">
      <c r="B104" s="402" t="s">
        <v>125</v>
      </c>
      <c r="C104" s="332"/>
      <c r="D104" s="332">
        <f>D101+D88-D98</f>
        <v>87.226826415777452</v>
      </c>
      <c r="E104" s="332">
        <f>E101+E88-E98</f>
        <v>95.732008430406637</v>
      </c>
      <c r="F104" s="332">
        <f>F101+F88-F98</f>
        <v>109.57597061765044</v>
      </c>
      <c r="G104" s="332">
        <f>G101+G88-G98</f>
        <v>114.90182553605064</v>
      </c>
      <c r="H104" s="378">
        <f>H101+H88-H98</f>
        <v>118.28154407869224</v>
      </c>
    </row>
    <row r="105" spans="2:10" ht="16" thickBot="1" x14ac:dyDescent="0.25"/>
    <row r="106" spans="2:10" ht="16" x14ac:dyDescent="0.2">
      <c r="B106" s="487" t="s">
        <v>126</v>
      </c>
      <c r="C106" s="488">
        <f>C15</f>
        <v>5148.6833138581205</v>
      </c>
      <c r="D106" s="489">
        <f>'OM Micro Data'!C7-C15</f>
        <v>56635.516452439326</v>
      </c>
      <c r="E106" s="489">
        <f>'OM Micro Data'!C25</f>
        <v>109634.03489965237</v>
      </c>
      <c r="F106" s="489">
        <f>'OM Micro Data'!C44</f>
        <v>260599.37958656834</v>
      </c>
      <c r="G106" s="489">
        <f>'OM Micro Data'!C63</f>
        <v>429067.94595654175</v>
      </c>
      <c r="H106" s="490">
        <f>'OM Micro Data'!C82</f>
        <v>584792.43618212477</v>
      </c>
      <c r="I106" s="317"/>
      <c r="J106" s="317"/>
    </row>
    <row r="107" spans="2:10" ht="16" x14ac:dyDescent="0.2">
      <c r="B107" s="491" t="s">
        <v>127</v>
      </c>
      <c r="D107" s="252">
        <f>'Finished Goods '!H13</f>
        <v>37134.237259028218</v>
      </c>
      <c r="E107" s="252">
        <f>'Finished Goods '!H22</f>
        <v>64205.27408031396</v>
      </c>
      <c r="F107" s="252">
        <f>'Finished Goods '!H30</f>
        <v>137844.54328343982</v>
      </c>
      <c r="G107" s="252">
        <f>'Finished Goods '!H38</f>
        <v>224408.85144445224</v>
      </c>
      <c r="H107" s="492">
        <f>'Finished Goods '!H46</f>
        <v>306450.55088460015</v>
      </c>
      <c r="I107" s="317"/>
      <c r="J107" s="317"/>
    </row>
    <row r="108" spans="2:10" ht="17" thickBot="1" x14ac:dyDescent="0.25">
      <c r="B108" s="493" t="s">
        <v>128</v>
      </c>
      <c r="C108" s="494">
        <f t="shared" ref="C108:H108" si="5">SUM(C106:C107)</f>
        <v>5148.6833138581205</v>
      </c>
      <c r="D108" s="494">
        <f t="shared" si="5"/>
        <v>93769.753711467551</v>
      </c>
      <c r="E108" s="494">
        <f t="shared" si="5"/>
        <v>173839.30897996633</v>
      </c>
      <c r="F108" s="494">
        <f t="shared" si="5"/>
        <v>398443.92287000816</v>
      </c>
      <c r="G108" s="494">
        <f t="shared" si="5"/>
        <v>653476.79740099399</v>
      </c>
      <c r="H108" s="495">
        <f t="shared" si="5"/>
        <v>891242.98706672492</v>
      </c>
      <c r="I108" s="317"/>
      <c r="J108" s="317"/>
    </row>
    <row r="109" spans="2:10" x14ac:dyDescent="0.2">
      <c r="I109" s="317"/>
      <c r="J109" s="317"/>
    </row>
    <row r="110" spans="2:10" ht="16" x14ac:dyDescent="0.2">
      <c r="B110" s="309" t="s">
        <v>129</v>
      </c>
      <c r="C110" s="251"/>
      <c r="D110" s="298">
        <f>CAPEX!G31</f>
        <v>1100.92</v>
      </c>
      <c r="E110" s="298">
        <f>CAPEX!G37</f>
        <v>259.99</v>
      </c>
      <c r="F110" s="298">
        <f>CAPEX!G46</f>
        <v>1100.92</v>
      </c>
      <c r="G110" s="298">
        <f>CAPEX!G58</f>
        <v>4556.53</v>
      </c>
      <c r="H110" s="298">
        <f>CAPEX!Q32</f>
        <v>0</v>
      </c>
      <c r="I110" s="317"/>
      <c r="J110" s="317"/>
    </row>
    <row r="112" spans="2:10" x14ac:dyDescent="0.2">
      <c r="B112" s="1800" t="s">
        <v>130</v>
      </c>
      <c r="C112" s="1800"/>
      <c r="D112" s="1800"/>
      <c r="E112" s="1800"/>
      <c r="F112" s="1800"/>
      <c r="G112" s="1800"/>
      <c r="H112" s="1800"/>
    </row>
    <row r="113" spans="2:8" x14ac:dyDescent="0.2">
      <c r="B113" s="369"/>
      <c r="C113" s="375"/>
      <c r="D113" s="370"/>
      <c r="E113" s="370"/>
      <c r="F113" s="370"/>
      <c r="G113" s="370"/>
      <c r="H113" s="370"/>
    </row>
    <row r="114" spans="2:8" ht="16" x14ac:dyDescent="0.2">
      <c r="B114" s="718" t="s">
        <v>131</v>
      </c>
      <c r="C114" s="36">
        <v>0.03</v>
      </c>
      <c r="D114" s="370"/>
      <c r="E114" s="370"/>
      <c r="F114" s="370"/>
      <c r="G114" s="370"/>
      <c r="H114" s="370"/>
    </row>
    <row r="115" spans="2:8" x14ac:dyDescent="0.2">
      <c r="B115" s="369"/>
      <c r="C115" s="370"/>
      <c r="D115" s="370"/>
      <c r="E115" s="370"/>
      <c r="F115" s="370"/>
      <c r="G115" s="370"/>
      <c r="H115" s="370"/>
    </row>
    <row r="116" spans="2:8" ht="16" x14ac:dyDescent="0.2">
      <c r="B116" s="799" t="s">
        <v>132</v>
      </c>
      <c r="C116" s="800">
        <v>800</v>
      </c>
      <c r="D116" s="370"/>
      <c r="E116" s="370"/>
      <c r="F116" s="370"/>
      <c r="G116" s="370"/>
      <c r="H116" s="370"/>
    </row>
    <row r="117" spans="2:8" x14ac:dyDescent="0.2">
      <c r="B117" s="369"/>
      <c r="C117" s="370"/>
      <c r="D117" s="370"/>
      <c r="E117" s="370"/>
      <c r="F117" s="370"/>
      <c r="G117" s="370"/>
      <c r="H117" s="370"/>
    </row>
    <row r="118" spans="2:8" x14ac:dyDescent="0.2">
      <c r="B118" s="369"/>
      <c r="C118" s="370"/>
      <c r="D118" s="370"/>
      <c r="E118" s="370"/>
      <c r="F118" s="370"/>
      <c r="G118" s="370"/>
      <c r="H118" s="370"/>
    </row>
    <row r="119" spans="2:8" ht="14.25" customHeight="1" x14ac:dyDescent="0.2">
      <c r="B119" s="309" t="s">
        <v>133</v>
      </c>
      <c r="C119" s="371">
        <f>'FE CAPM - Comparable Ratios'!D16</f>
        <v>0.18580534460169512</v>
      </c>
      <c r="D119" s="372"/>
      <c r="E119" s="372"/>
      <c r="F119" s="372"/>
      <c r="G119" s="372"/>
      <c r="H119" s="372"/>
    </row>
    <row r="120" spans="2:8" ht="16" x14ac:dyDescent="0.2">
      <c r="B120" s="309" t="s">
        <v>134</v>
      </c>
      <c r="C120" s="373">
        <v>0.1</v>
      </c>
    </row>
    <row r="122" spans="2:8" ht="16" x14ac:dyDescent="0.2">
      <c r="B122" s="309" t="s">
        <v>135</v>
      </c>
      <c r="C122" s="36">
        <f>0.27</f>
        <v>0.27</v>
      </c>
    </row>
    <row r="123" spans="2:8" ht="16" x14ac:dyDescent="0.2">
      <c r="B123" s="309" t="s">
        <v>136</v>
      </c>
      <c r="C123" s="36">
        <v>0.05</v>
      </c>
    </row>
    <row r="125" spans="2:8" ht="16" x14ac:dyDescent="0.2">
      <c r="B125" s="374" t="s">
        <v>137</v>
      </c>
      <c r="C125" s="375">
        <v>10</v>
      </c>
    </row>
    <row r="127" spans="2:8" ht="16" x14ac:dyDescent="0.2">
      <c r="B127" s="374" t="s">
        <v>138</v>
      </c>
      <c r="C127" s="36">
        <f>0.08</f>
        <v>0.08</v>
      </c>
    </row>
    <row r="132" spans="2:8" x14ac:dyDescent="0.2">
      <c r="B132" s="1800" t="s">
        <v>139</v>
      </c>
      <c r="C132" s="1800"/>
      <c r="D132" s="1800"/>
      <c r="E132" s="1800"/>
      <c r="F132" s="1800"/>
      <c r="G132" s="1800"/>
      <c r="H132" s="1800"/>
    </row>
    <row r="133" spans="2:8" x14ac:dyDescent="0.2">
      <c r="B133" s="376"/>
    </row>
    <row r="134" spans="2:8" ht="16" x14ac:dyDescent="0.2">
      <c r="B134" s="309" t="s">
        <v>140</v>
      </c>
      <c r="C134" s="597">
        <v>250000</v>
      </c>
    </row>
    <row r="1048562" spans="12:12" x14ac:dyDescent="0.2">
      <c r="L1048562" s="404">
        <v>1E-3</v>
      </c>
    </row>
  </sheetData>
  <mergeCells count="11">
    <mergeCell ref="I14:I16"/>
    <mergeCell ref="I25:J25"/>
    <mergeCell ref="C5:F5"/>
    <mergeCell ref="D90:H90"/>
    <mergeCell ref="B132:H132"/>
    <mergeCell ref="D95:H95"/>
    <mergeCell ref="B28:H28"/>
    <mergeCell ref="B83:H83"/>
    <mergeCell ref="B112:H112"/>
    <mergeCell ref="D85:H85"/>
    <mergeCell ref="D100:H100"/>
  </mergeCells>
  <hyperlinks>
    <hyperlink ref="B1" location="Index!A1" display="Back to Index" xr:uid="{1148976E-6C78-4715-805D-6B9F9A532BBB}"/>
  </hyperlinks>
  <printOptions gridLinesSet="0"/>
  <pageMargins left="0.75" right="0.75" top="1" bottom="1" header="0.5" footer="0.5"/>
  <pageSetup scale="51" orientation="landscape" r:id="rId1"/>
  <headerFooter alignWithMargins="0">
    <oddHeader>&amp;A</oddHeader>
    <oddFooter>Page &amp;P</oddFooter>
  </headerFooter>
  <rowBreaks count="1" manualBreakCount="1">
    <brk id="136" max="16383" man="1"/>
  </rowBreaks>
  <ignoredErrors>
    <ignoredError sqref="D64:H64"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7E3C3-238A-44AA-A4EA-4FDE2A770C57}">
  <sheetPr published="0">
    <tabColor rgb="FF00B050"/>
    <pageSetUpPr fitToPage="1"/>
  </sheetPr>
  <dimension ref="B1:W96"/>
  <sheetViews>
    <sheetView showGridLines="0" zoomScale="163" zoomScaleNormal="85" zoomScalePageLayoutView="120" workbookViewId="0">
      <pane ySplit="3" topLeftCell="A4" activePane="bottomLeft" state="frozen"/>
      <selection pane="bottomLeft" activeCell="B26" sqref="B26"/>
    </sheetView>
  </sheetViews>
  <sheetFormatPr baseColWidth="10" defaultColWidth="8.5" defaultRowHeight="15" x14ac:dyDescent="0.2"/>
  <cols>
    <col min="1" max="1" width="1.83203125" style="239" customWidth="1"/>
    <col min="2" max="2" width="62.1640625" style="239" bestFit="1" customWidth="1"/>
    <col min="3" max="3" width="3.5" style="239" customWidth="1"/>
    <col min="4" max="4" width="13" style="239" customWidth="1"/>
    <col min="5" max="5" width="13.5" style="239" bestFit="1" customWidth="1"/>
    <col min="6" max="6" width="11.5" style="239" bestFit="1" customWidth="1"/>
    <col min="7" max="7" width="12.5" style="239" bestFit="1" customWidth="1"/>
    <col min="8" max="9" width="13.5" style="239" bestFit="1" customWidth="1"/>
    <col min="10" max="11" width="14.5" style="239" customWidth="1"/>
    <col min="12" max="14" width="14.5" style="54" customWidth="1"/>
    <col min="15" max="15" width="8.6640625" style="54" customWidth="1"/>
    <col min="16" max="23" width="8.5" style="54"/>
    <col min="24" max="16384" width="8.5" style="239"/>
  </cols>
  <sheetData>
    <row r="1" spans="2:14" ht="16" x14ac:dyDescent="0.2">
      <c r="B1" s="57" t="s">
        <v>37</v>
      </c>
      <c r="C1" s="234"/>
      <c r="D1" s="285"/>
    </row>
    <row r="2" spans="2:14" ht="16" x14ac:dyDescent="0.2">
      <c r="B2" s="240" t="s">
        <v>141</v>
      </c>
      <c r="C2" s="240"/>
      <c r="D2" s="241"/>
      <c r="E2" s="241"/>
      <c r="F2" s="241"/>
      <c r="G2" s="241"/>
      <c r="H2" s="241"/>
      <c r="I2" s="241"/>
    </row>
    <row r="3" spans="2:14" x14ac:dyDescent="0.2">
      <c r="B3" s="242" t="s">
        <v>39</v>
      </c>
      <c r="C3" s="242"/>
      <c r="D3" s="243" t="s">
        <v>40</v>
      </c>
      <c r="E3" s="243" t="s">
        <v>41</v>
      </c>
      <c r="F3" s="243" t="s">
        <v>42</v>
      </c>
      <c r="G3" s="243" t="s">
        <v>43</v>
      </c>
      <c r="H3" s="243" t="s">
        <v>44</v>
      </c>
      <c r="I3" s="243" t="s">
        <v>45</v>
      </c>
      <c r="K3" s="247"/>
    </row>
    <row r="4" spans="2:14" x14ac:dyDescent="0.2">
      <c r="D4" s="286"/>
      <c r="E4" s="2"/>
      <c r="F4" s="256"/>
      <c r="G4" s="2"/>
      <c r="H4" s="2"/>
      <c r="I4" s="2"/>
      <c r="J4" s="287"/>
    </row>
    <row r="5" spans="2:14" x14ac:dyDescent="0.2">
      <c r="B5" s="239" t="s">
        <v>142</v>
      </c>
      <c r="D5" s="46"/>
      <c r="E5" s="288">
        <f>'FE Assumptions'!D45*'FE Assumptions'!D57</f>
        <v>673694.10357142857</v>
      </c>
      <c r="F5" s="288">
        <f>'FE Assumptions'!E45*'FE Assumptions'!E57</f>
        <v>1325515.0044117649</v>
      </c>
      <c r="G5" s="288">
        <f>'FE Assumptions'!F45*'FE Assumptions'!F57</f>
        <v>3292776.7905232785</v>
      </c>
      <c r="H5" s="288">
        <f>'FE Assumptions'!G45*'FE Assumptions'!G57</f>
        <v>5500174.8105354076</v>
      </c>
      <c r="I5" s="288">
        <f>'FE Assumptions'!H45*'FE Assumptions'!H57</f>
        <v>7536347.7720434312</v>
      </c>
      <c r="J5" s="289"/>
      <c r="K5" s="289"/>
      <c r="L5" s="289"/>
      <c r="M5" s="289"/>
      <c r="N5" s="289"/>
    </row>
    <row r="6" spans="2:14" x14ac:dyDescent="0.2">
      <c r="B6" s="239" t="s">
        <v>143</v>
      </c>
      <c r="D6" s="46"/>
      <c r="E6" s="290">
        <f>-'FE Assumptions'!D45*'FE Assumptions'!D63</f>
        <v>-250800.28152371687</v>
      </c>
      <c r="F6" s="290">
        <f>-'FE Assumptions'!E45*'FE Assumptions'!E63</f>
        <v>-506992.17172489449</v>
      </c>
      <c r="G6" s="290">
        <f>-'FE Assumptions'!F45*'FE Assumptions'!F63</f>
        <v>-1339722.7923553509</v>
      </c>
      <c r="H6" s="290">
        <f>-'FE Assumptions'!G45*'FE Assumptions'!G63</f>
        <v>-2320835.8002943783</v>
      </c>
      <c r="I6" s="290">
        <f>-'FE Assumptions'!H45*'FE Assumptions'!H63</f>
        <v>-3301532.4229659536</v>
      </c>
      <c r="J6" s="289"/>
    </row>
    <row r="7" spans="2:14" x14ac:dyDescent="0.2">
      <c r="B7" s="479" t="s">
        <v>144</v>
      </c>
      <c r="D7" s="46"/>
      <c r="E7" s="290">
        <f>-'FE Assumptions'!D49*'FE Assumptions'!D65</f>
        <v>-4908.3720914929963</v>
      </c>
      <c r="F7" s="290">
        <f>-'FE Assumptions'!E49*'FE Assumptions'!E65</f>
        <v>-726.73355051975091</v>
      </c>
      <c r="G7" s="290">
        <f>-'FE Assumptions'!F49*'FE Assumptions'!F65</f>
        <v>-1562.4944956865461</v>
      </c>
      <c r="H7" s="290">
        <f>-'FE Assumptions'!G49*'FE Assumptions'!G65</f>
        <v>-2547.1035711378659</v>
      </c>
      <c r="I7" s="290">
        <f>-'FE Assumptions'!H49*'FE Assumptions'!H65</f>
        <v>-3530.7764931761512</v>
      </c>
      <c r="J7" s="289"/>
    </row>
    <row r="8" spans="2:14" x14ac:dyDescent="0.2">
      <c r="B8" s="282" t="s">
        <v>145</v>
      </c>
      <c r="D8" s="46"/>
      <c r="E8" s="290">
        <f>-'FE Assumptions'!D45*'FE Assumptions'!D64</f>
        <v>-169921.74274489924</v>
      </c>
      <c r="F8" s="290">
        <f>-'FE Assumptions'!E45*'FE Assumptions'!E64</f>
        <v>-219660.48081149627</v>
      </c>
      <c r="G8" s="290">
        <f>-'FE Assumptions'!F45*'FE Assumptions'!F64</f>
        <v>-222727.68320172137</v>
      </c>
      <c r="H8" s="290">
        <f>-'FE Assumptions'!G45*'FE Assumptions'!G64</f>
        <v>-226220.37674045342</v>
      </c>
      <c r="I8" s="290">
        <f>-'FE Assumptions'!H45*'FE Assumptions'!H64</f>
        <v>-229223.24335658387</v>
      </c>
      <c r="J8" s="289"/>
    </row>
    <row r="9" spans="2:14" x14ac:dyDescent="0.2">
      <c r="B9" s="239" t="s">
        <v>146</v>
      </c>
      <c r="D9" s="290"/>
      <c r="E9" s="290">
        <f>SUM(E6:E8)</f>
        <v>-425630.39636010909</v>
      </c>
      <c r="F9" s="290">
        <f>SUM(F6:F8)</f>
        <v>-727379.3860869105</v>
      </c>
      <c r="G9" s="290">
        <f>SUM(G6:G8)</f>
        <v>-1564012.9700527589</v>
      </c>
      <c r="H9" s="290">
        <f>SUM(H6:H8)</f>
        <v>-2549603.2806059695</v>
      </c>
      <c r="I9" s="290">
        <f>SUM(I6:I8)</f>
        <v>-3534286.4428157136</v>
      </c>
    </row>
    <row r="10" spans="2:14" x14ac:dyDescent="0.2">
      <c r="D10" s="46"/>
      <c r="E10" s="288"/>
      <c r="F10" s="288"/>
      <c r="G10" s="288"/>
      <c r="H10" s="288"/>
      <c r="I10" s="288"/>
    </row>
    <row r="11" spans="2:14" x14ac:dyDescent="0.2">
      <c r="B11" s="393" t="s">
        <v>147</v>
      </c>
      <c r="C11" s="393"/>
      <c r="D11" s="394"/>
      <c r="E11" s="395">
        <f>E5+E9</f>
        <v>248063.70721131947</v>
      </c>
      <c r="F11" s="395">
        <f>F5+F9</f>
        <v>598135.61832485441</v>
      </c>
      <c r="G11" s="395">
        <f>G5+G9</f>
        <v>1728763.8204705196</v>
      </c>
      <c r="H11" s="395">
        <f>H5+H9</f>
        <v>2950571.5299294381</v>
      </c>
      <c r="I11" s="395">
        <f>I5+I9</f>
        <v>4002061.3292277176</v>
      </c>
      <c r="L11" s="239"/>
      <c r="M11" s="239"/>
      <c r="N11" s="239"/>
    </row>
    <row r="12" spans="2:14" x14ac:dyDescent="0.2">
      <c r="D12" s="44"/>
      <c r="E12" s="45"/>
      <c r="F12" s="45"/>
      <c r="G12" s="45"/>
      <c r="H12" s="45"/>
      <c r="I12" s="45"/>
    </row>
    <row r="13" spans="2:14" x14ac:dyDescent="0.2">
      <c r="B13" s="249" t="s">
        <v>148</v>
      </c>
      <c r="D13" s="290">
        <f>-'FE Assumptions'!C26</f>
        <v>-516532.70946666668</v>
      </c>
      <c r="E13" s="47"/>
      <c r="F13" s="47"/>
      <c r="G13" s="47"/>
      <c r="H13" s="47"/>
      <c r="I13" s="47"/>
    </row>
    <row r="14" spans="2:14" s="1" customFormat="1" x14ac:dyDescent="0.2">
      <c r="B14" s="391" t="s">
        <v>149</v>
      </c>
      <c r="C14" s="291"/>
      <c r="D14" s="290">
        <f>-'FE Assumptions'!C71</f>
        <v>-60883.333333333328</v>
      </c>
      <c r="E14" s="290">
        <f>-'FE Assumptions'!D71</f>
        <v>-483594.8</v>
      </c>
      <c r="F14" s="290">
        <f>-'FE Assumptions'!E71</f>
        <v>-498102.64399999997</v>
      </c>
      <c r="G14" s="290">
        <f>-'FE Assumptions'!F71</f>
        <v>-807176.46204000013</v>
      </c>
      <c r="H14" s="290">
        <f>-'FE Assumptions'!G71</f>
        <v>-970592.05350120005</v>
      </c>
      <c r="I14" s="290">
        <f>-'FE Assumptions'!H71</f>
        <v>-998276.14780623617</v>
      </c>
    </row>
    <row r="15" spans="2:14" s="1" customFormat="1" x14ac:dyDescent="0.2">
      <c r="B15" s="391" t="s">
        <v>150</v>
      </c>
      <c r="C15" s="291"/>
      <c r="D15" s="48">
        <f>-'FE Assumptions'!C77</f>
        <v>-2425.4</v>
      </c>
      <c r="E15" s="48">
        <f>-'FE Assumptions'!D77</f>
        <v>-6573.4</v>
      </c>
      <c r="F15" s="49">
        <f>-'FE Assumptions'!E77</f>
        <v>-19173.400000000001</v>
      </c>
      <c r="G15" s="49">
        <f>-'FE Assumptions'!F77</f>
        <v>-32469.4</v>
      </c>
      <c r="H15" s="49">
        <f>-'FE Assumptions'!G77</f>
        <v>-58017.4</v>
      </c>
      <c r="I15" s="49">
        <f>-'FE Assumptions'!H77</f>
        <v>-58017.4</v>
      </c>
      <c r="N15" s="1067"/>
    </row>
    <row r="16" spans="2:14" s="1" customFormat="1" x14ac:dyDescent="0.2">
      <c r="B16" s="391" t="s">
        <v>151</v>
      </c>
      <c r="C16" s="291"/>
      <c r="D16" s="48"/>
      <c r="E16" s="48">
        <f>-('OM Assumptions'!$C$95*'OM Assumptions'!$C$96)+-('OM Assumptions'!D97*'OM Assumptions'!$C$98)</f>
        <v>-3141.1000000000004</v>
      </c>
      <c r="F16" s="49">
        <f>-('OM Assumptions'!$C$95*'OM Assumptions'!$C$96)+-('OM Assumptions'!E97*'OM Assumptions'!$C$98)</f>
        <v>-3275.0000000000005</v>
      </c>
      <c r="G16" s="49">
        <f>-('OM Assumptions'!$C$95*'OM Assumptions'!$C$96)+-('OM Assumptions'!F97*'OM Assumptions'!$C$98)</f>
        <v>-3408.9000000000005</v>
      </c>
      <c r="H16" s="49">
        <f>-('OM Assumptions'!$C$95*'OM Assumptions'!$C$96)+-('OM Assumptions'!G97*'OM Assumptions'!$C$98)</f>
        <v>-3542.8000000000006</v>
      </c>
      <c r="I16" s="49">
        <f>-('OM Assumptions'!$C$95*'OM Assumptions'!$C$96)+-('OM Assumptions'!H97*'OM Assumptions'!$C$98)</f>
        <v>-3676.7000000000007</v>
      </c>
    </row>
    <row r="17" spans="2:17" s="1" customFormat="1" x14ac:dyDescent="0.2">
      <c r="B17" s="391" t="s">
        <v>152</v>
      </c>
      <c r="C17" s="291"/>
      <c r="D17" s="290">
        <f>-'FE Assumptions'!C24</f>
        <v>-27340.792800000003</v>
      </c>
      <c r="E17" s="290">
        <f>-('FE Assumptions'!D72)</f>
        <v>-182271.95200000002</v>
      </c>
      <c r="F17" s="290">
        <f>-('FE Assumptions'!E72)</f>
        <v>-180588.6</v>
      </c>
      <c r="G17" s="290">
        <f>-('FE Assumptions'!F72)</f>
        <v>-265810.08799999999</v>
      </c>
      <c r="H17" s="290">
        <f>-('FE Assumptions'!G72)</f>
        <v>-362405.4</v>
      </c>
      <c r="I17" s="290">
        <f>-('FE Assumptions'!H72)</f>
        <v>-383749.72639999999</v>
      </c>
    </row>
    <row r="18" spans="2:17" s="1" customFormat="1" x14ac:dyDescent="0.2">
      <c r="B18" s="392" t="s">
        <v>153</v>
      </c>
      <c r="D18" s="49"/>
      <c r="E18" s="290">
        <f>-('FE Assumptions'!D73)</f>
        <v>-9278.4217857142849</v>
      </c>
      <c r="F18" s="290">
        <f>-('FE Assumptions'!E73)</f>
        <v>-37824.869852941185</v>
      </c>
      <c r="G18" s="290">
        <f>-('FE Assumptions'!F73)</f>
        <v>-136448.4572341461</v>
      </c>
      <c r="H18" s="290">
        <f>-('FE Assumptions'!G73)</f>
        <v>-280394.23137558094</v>
      </c>
      <c r="I18" s="290">
        <f>-('FE Assumptions'!H73)</f>
        <v>-644383.61100117362</v>
      </c>
    </row>
    <row r="19" spans="2:17" ht="15" customHeight="1" x14ac:dyDescent="0.2">
      <c r="B19" s="249" t="s">
        <v>154</v>
      </c>
      <c r="D19" s="48"/>
      <c r="E19" s="290">
        <f>-('FE Assumptions'!C10+'FE Assumptions'!C78)/5</f>
        <v>-5542.2800000000007</v>
      </c>
      <c r="F19" s="290">
        <f>E19+E20</f>
        <v>-5788.4640000000009</v>
      </c>
      <c r="G19" s="290">
        <f>F19+F20</f>
        <v>-5840.4620000000004</v>
      </c>
      <c r="H19" s="290">
        <f>G19+G20</f>
        <v>-6334.2360000000008</v>
      </c>
      <c r="I19" s="290">
        <f t="shared" ref="I19" si="0">H19+H20</f>
        <v>-7271.5420000000004</v>
      </c>
      <c r="J19" s="292"/>
      <c r="K19" s="293"/>
      <c r="L19" s="292"/>
      <c r="M19" s="292"/>
    </row>
    <row r="20" spans="2:17" x14ac:dyDescent="0.2">
      <c r="B20" s="249" t="s">
        <v>155</v>
      </c>
      <c r="D20" s="48"/>
      <c r="E20" s="48">
        <f>-('FE Assumptions'!D78+'FE Assumptions'!D110)/5</f>
        <v>-246.18400000000003</v>
      </c>
      <c r="F20" s="48">
        <f>-('FE Assumptions'!E78+'FE Assumptions'!E110)/5</f>
        <v>-51.998000000000005</v>
      </c>
      <c r="G20" s="48">
        <f>-('FE Assumptions'!F78+'FE Assumptions'!F110)/5</f>
        <v>-493.774</v>
      </c>
      <c r="H20" s="48">
        <f>-('FE Assumptions'!G78+'FE Assumptions'!G110)/5</f>
        <v>-937.30599999999993</v>
      </c>
      <c r="I20" s="48">
        <f>-('FE Assumptions'!H78+'FE Assumptions'!H110)/5</f>
        <v>0</v>
      </c>
      <c r="J20" s="293"/>
      <c r="K20" s="293"/>
      <c r="L20" s="117"/>
      <c r="M20" s="940"/>
      <c r="N20" s="940"/>
      <c r="O20" s="940"/>
      <c r="P20" s="940"/>
      <c r="Q20" s="940"/>
    </row>
    <row r="21" spans="2:17" x14ac:dyDescent="0.2">
      <c r="B21" s="479" t="s">
        <v>156</v>
      </c>
      <c r="D21" s="48"/>
      <c r="E21" s="48">
        <f>-('FE Assumptions'!C79+'FE Assumptions'!D79)/2</f>
        <v>-1549.9749999999999</v>
      </c>
      <c r="F21" s="48">
        <f>-('FE Assumptions'!D79+'FE Assumptions'!E79)/2</f>
        <v>-289.995</v>
      </c>
      <c r="G21" s="48">
        <f>-('FE Assumptions'!E79+'FE Assumptions'!F79)/2</f>
        <v>-579.99</v>
      </c>
      <c r="H21" s="48">
        <f>-('FE Assumptions'!F79+'FE Assumptions'!G79)/2</f>
        <v>-1209.98</v>
      </c>
      <c r="I21" s="48">
        <f>-('FE Assumptions'!G79+'FE Assumptions'!H79)/2</f>
        <v>-629.99</v>
      </c>
      <c r="J21" s="293"/>
      <c r="K21" s="293"/>
      <c r="L21" s="117"/>
      <c r="M21" s="940"/>
      <c r="N21" s="940"/>
      <c r="O21" s="940"/>
      <c r="P21" s="940"/>
      <c r="Q21" s="940"/>
    </row>
    <row r="22" spans="2:17" ht="16" x14ac:dyDescent="0.2">
      <c r="B22" s="313" t="s">
        <v>61</v>
      </c>
      <c r="C22" s="314"/>
      <c r="D22" s="48">
        <f>-'FE Assumptions'!$C$116</f>
        <v>-800</v>
      </c>
      <c r="E22" s="48">
        <v>0</v>
      </c>
      <c r="F22" s="48">
        <v>0</v>
      </c>
      <c r="G22" s="48">
        <f>-'FE Assumptions'!$C$116</f>
        <v>-800</v>
      </c>
      <c r="H22" s="48">
        <v>0</v>
      </c>
      <c r="I22" s="475">
        <v>-800</v>
      </c>
      <c r="J22" s="293"/>
      <c r="K22" s="293"/>
      <c r="L22" s="292"/>
      <c r="M22" s="292"/>
    </row>
    <row r="23" spans="2:17" x14ac:dyDescent="0.2">
      <c r="B23" s="479" t="s">
        <v>157</v>
      </c>
      <c r="D23" s="48"/>
      <c r="E23" s="48">
        <f>-'OM Assumptions'!D99*'FE Assumptions'!D49</f>
        <v>-31.754000000000005</v>
      </c>
      <c r="F23" s="48">
        <f>-'OM Assumptions'!E99*'FE Assumptions'!E49</f>
        <v>-5.3900000000000006</v>
      </c>
      <c r="G23" s="48">
        <f>-'OM Assumptions'!F99*'FE Assumptions'!F49</f>
        <v>-14.198</v>
      </c>
      <c r="H23" s="48">
        <f>-'OM Assumptions'!G99*'FE Assumptions'!G49</f>
        <v>-24.364000000000001</v>
      </c>
      <c r="I23" s="48">
        <f>-'OM Assumptions'!H99*'FE Assumptions'!H49</f>
        <v>-33.905999999999999</v>
      </c>
      <c r="J23" s="293"/>
      <c r="K23" s="293"/>
      <c r="L23" s="292"/>
      <c r="M23" s="292"/>
    </row>
    <row r="24" spans="2:17" x14ac:dyDescent="0.2">
      <c r="B24" s="479" t="s">
        <v>158</v>
      </c>
      <c r="D24" s="50"/>
      <c r="E24" s="1036">
        <f>-'OM SG&amp;A'!E49</f>
        <v>-2724.9405384615384</v>
      </c>
      <c r="F24" s="1036">
        <f>-'OM SG&amp;A'!E55</f>
        <v>-4983.1221538461541</v>
      </c>
      <c r="G24" s="1036">
        <f>-'OM SG&amp;A'!E61</f>
        <v>-13127.319384615384</v>
      </c>
      <c r="H24" s="1036">
        <f>-'OM SG&amp;A'!E67</f>
        <v>-22526.910063455129</v>
      </c>
      <c r="I24" s="1036">
        <f>-'OM SG&amp;A'!E73</f>
        <v>-31349.824307692306</v>
      </c>
      <c r="J24" s="2"/>
      <c r="K24" s="256"/>
    </row>
    <row r="25" spans="2:17" x14ac:dyDescent="0.2">
      <c r="B25" s="479" t="s">
        <v>159</v>
      </c>
      <c r="D25" s="1036"/>
      <c r="E25" s="1036">
        <f>-'OM Assumptions'!C103</f>
        <v>-2400</v>
      </c>
      <c r="F25" s="1036">
        <f>-'OM Assumptions'!D103</f>
        <v>-2400</v>
      </c>
      <c r="G25" s="1036">
        <f>-'OM Assumptions'!E103</f>
        <v>-3600</v>
      </c>
      <c r="H25" s="1036">
        <f>-'OM Assumptions'!F103</f>
        <v>-6000</v>
      </c>
      <c r="I25" s="1037">
        <f>-'OM Assumptions'!G103</f>
        <v>0</v>
      </c>
      <c r="J25" s="2"/>
      <c r="K25" s="256"/>
      <c r="L25" s="256"/>
      <c r="M25" s="256"/>
      <c r="N25" s="256"/>
      <c r="O25" s="256"/>
      <c r="P25" s="256"/>
    </row>
    <row r="26" spans="2:17" x14ac:dyDescent="0.2">
      <c r="B26" s="479" t="s">
        <v>100</v>
      </c>
      <c r="D26" s="1036">
        <f>'FE Assumptions'!C69</f>
        <v>-3735.68</v>
      </c>
      <c r="E26" s="1036"/>
      <c r="F26" s="1036"/>
      <c r="G26" s="1036"/>
      <c r="H26" s="1036"/>
      <c r="I26" s="1037"/>
      <c r="J26" s="2"/>
      <c r="K26" s="256"/>
    </row>
    <row r="27" spans="2:17" x14ac:dyDescent="0.2">
      <c r="B27" s="239" t="s">
        <v>160</v>
      </c>
      <c r="D27" s="1036">
        <f>SUM(D13:D26)</f>
        <v>-611717.91560000018</v>
      </c>
      <c r="E27" s="1036">
        <f t="shared" ref="E27:I27" si="1">SUM(E13:E26)</f>
        <v>-697354.80732417584</v>
      </c>
      <c r="F27" s="1036">
        <f t="shared" si="1"/>
        <v>-752483.48300678737</v>
      </c>
      <c r="G27" s="1036">
        <f t="shared" si="1"/>
        <v>-1269769.0506587618</v>
      </c>
      <c r="H27" s="1036">
        <f t="shared" si="1"/>
        <v>-1711984.6809402362</v>
      </c>
      <c r="I27" s="1036">
        <f t="shared" si="1"/>
        <v>-2128188.847515102</v>
      </c>
      <c r="J27" s="2"/>
    </row>
    <row r="28" spans="2:17" x14ac:dyDescent="0.2">
      <c r="D28" s="1036"/>
      <c r="E28" s="1037"/>
      <c r="F28" s="1037"/>
      <c r="G28" s="1037"/>
      <c r="H28" s="1037"/>
      <c r="I28" s="1037"/>
      <c r="J28" s="2"/>
    </row>
    <row r="29" spans="2:17" x14ac:dyDescent="0.2">
      <c r="D29" s="1036"/>
      <c r="E29" s="1037"/>
      <c r="F29" s="1037"/>
      <c r="G29" s="1037"/>
      <c r="H29" s="1037"/>
      <c r="I29" s="1037"/>
      <c r="J29" s="2"/>
    </row>
    <row r="30" spans="2:17" x14ac:dyDescent="0.2">
      <c r="B30" s="396" t="s">
        <v>161</v>
      </c>
      <c r="C30" s="396"/>
      <c r="D30" s="397">
        <f t="shared" ref="D30:I30" si="2">D11+D27</f>
        <v>-611717.91560000018</v>
      </c>
      <c r="E30" s="397">
        <f t="shared" si="2"/>
        <v>-449291.10011285637</v>
      </c>
      <c r="F30" s="397">
        <f t="shared" si="2"/>
        <v>-154347.86468193296</v>
      </c>
      <c r="G30" s="397">
        <f t="shared" si="2"/>
        <v>458994.76981175784</v>
      </c>
      <c r="H30" s="397">
        <f t="shared" si="2"/>
        <v>1238586.8489892019</v>
      </c>
      <c r="I30" s="397">
        <f t="shared" si="2"/>
        <v>1873872.4817126156</v>
      </c>
      <c r="L30" s="239"/>
    </row>
    <row r="31" spans="2:17" x14ac:dyDescent="0.2">
      <c r="B31" s="1"/>
      <c r="C31" s="1"/>
      <c r="D31" s="290"/>
      <c r="E31" s="290"/>
      <c r="F31" s="290"/>
      <c r="G31" s="290"/>
      <c r="H31" s="290"/>
      <c r="I31" s="290"/>
    </row>
    <row r="32" spans="2:17" x14ac:dyDescent="0.2">
      <c r="B32" s="1" t="s">
        <v>162</v>
      </c>
      <c r="C32" s="1"/>
      <c r="D32" s="290">
        <f>IF(D30&lt;=0,-D30*'FE Assumptions'!$C$122,-'FE Income Statement'!D30*'FE Assumptions'!$C$122)</f>
        <v>165163.83721200007</v>
      </c>
      <c r="E32" s="290">
        <f>IF(E30&lt;=0,-E30*'FE Assumptions'!$C$122,-'FE Income Statement'!E30*'FE Assumptions'!$C$122)</f>
        <v>121308.59703047122</v>
      </c>
      <c r="F32" s="290">
        <f>IF(F30&lt;=0,-F30*'FE Assumptions'!$C$122,-'FE Income Statement'!F30*'FE Assumptions'!$C$122)</f>
        <v>41673.923464121901</v>
      </c>
      <c r="G32" s="290">
        <f>IF(G30&lt;=0,-G30*'FE Assumptions'!$C$122,-'FE Income Statement'!G30*'FE Assumptions'!$C$122)</f>
        <v>-123928.58784917463</v>
      </c>
      <c r="H32" s="290">
        <f>IF(H30&lt;=0,-H30*'FE Assumptions'!$C$122,-'FE Income Statement'!H30*'FE Assumptions'!$C$122)</f>
        <v>-334418.44922708452</v>
      </c>
      <c r="I32" s="290">
        <f>IF(I30&lt;=0,-I30*'FE Assumptions'!$C$122,-'FE Income Statement'!I30*'FE Assumptions'!$C$122)</f>
        <v>-505945.57006240624</v>
      </c>
    </row>
    <row r="33" spans="2:19" x14ac:dyDescent="0.2">
      <c r="B33" s="1"/>
      <c r="C33" s="1"/>
      <c r="D33" s="290"/>
      <c r="E33" s="290"/>
      <c r="F33" s="290"/>
      <c r="G33" s="290"/>
      <c r="H33" s="290"/>
      <c r="I33" s="290"/>
    </row>
    <row r="34" spans="2:19" x14ac:dyDescent="0.2">
      <c r="B34" s="393" t="s">
        <v>163</v>
      </c>
      <c r="C34" s="294"/>
      <c r="D34" s="397">
        <f>SUM(D30:D32)</f>
        <v>-446554.07838800014</v>
      </c>
      <c r="E34" s="397">
        <f>SUM(E30:E32)</f>
        <v>-327982.50308238517</v>
      </c>
      <c r="F34" s="397">
        <f t="shared" ref="F34:I34" si="3">SUM(F30:F32)</f>
        <v>-112673.94121781105</v>
      </c>
      <c r="G34" s="397">
        <f t="shared" si="3"/>
        <v>335066.18196258321</v>
      </c>
      <c r="H34" s="397">
        <f t="shared" si="3"/>
        <v>904168.39976211742</v>
      </c>
      <c r="I34" s="397">
        <f t="shared" si="3"/>
        <v>1367926.9116502092</v>
      </c>
    </row>
    <row r="35" spans="2:19" x14ac:dyDescent="0.2">
      <c r="D35" s="295"/>
      <c r="E35" s="51"/>
      <c r="F35" s="51"/>
      <c r="G35" s="51"/>
      <c r="H35" s="51"/>
      <c r="I35" s="51"/>
    </row>
    <row r="36" spans="2:19" x14ac:dyDescent="0.2">
      <c r="B36" s="242" t="s">
        <v>164</v>
      </c>
      <c r="C36" s="389"/>
      <c r="D36" s="390"/>
      <c r="E36" s="390"/>
      <c r="F36" s="390"/>
      <c r="G36" s="390"/>
      <c r="H36" s="390"/>
      <c r="I36" s="390"/>
    </row>
    <row r="37" spans="2:19" x14ac:dyDescent="0.2">
      <c r="B37" s="244"/>
      <c r="C37" s="247"/>
      <c r="D37" s="295"/>
      <c r="E37" s="295"/>
      <c r="F37" s="295"/>
      <c r="G37" s="295"/>
      <c r="H37" s="295"/>
      <c r="I37" s="295"/>
    </row>
    <row r="38" spans="2:19" x14ac:dyDescent="0.2">
      <c r="B38" s="239" t="s">
        <v>165</v>
      </c>
      <c r="D38" s="290">
        <v>0</v>
      </c>
      <c r="E38" s="290">
        <f>D41</f>
        <v>-446554.07838800014</v>
      </c>
      <c r="F38" s="290">
        <f>E41</f>
        <v>-774536.58147038531</v>
      </c>
      <c r="G38" s="290">
        <f>F41</f>
        <v>-887210.52268819639</v>
      </c>
      <c r="H38" s="290">
        <f>G41</f>
        <v>-552144.34072561318</v>
      </c>
      <c r="I38" s="290">
        <f>H41</f>
        <v>-196435.44510940928</v>
      </c>
    </row>
    <row r="39" spans="2:19" ht="13" customHeight="1" x14ac:dyDescent="0.2">
      <c r="B39" s="239" t="s">
        <v>166</v>
      </c>
      <c r="C39"/>
      <c r="D39" s="290">
        <f>D34</f>
        <v>-446554.07838800014</v>
      </c>
      <c r="E39" s="290">
        <f t="shared" ref="E39:I39" si="4">E34</f>
        <v>-327982.50308238517</v>
      </c>
      <c r="F39" s="290">
        <f t="shared" si="4"/>
        <v>-112673.94121781105</v>
      </c>
      <c r="G39" s="290">
        <f t="shared" si="4"/>
        <v>335066.18196258321</v>
      </c>
      <c r="H39" s="290">
        <f t="shared" si="4"/>
        <v>904168.39976211742</v>
      </c>
      <c r="I39" s="290">
        <f t="shared" si="4"/>
        <v>1367926.9116502092</v>
      </c>
      <c r="J39" s="1803" t="s">
        <v>167</v>
      </c>
      <c r="K39" s="1803"/>
      <c r="L39" s="1803"/>
      <c r="M39" s="1803"/>
      <c r="N39" s="1803"/>
      <c r="O39" s="1803"/>
      <c r="P39" s="1803"/>
      <c r="Q39" s="1803"/>
      <c r="R39" s="1803"/>
      <c r="S39" s="1803"/>
    </row>
    <row r="40" spans="2:19" ht="13" customHeight="1" x14ac:dyDescent="0.2">
      <c r="B40" s="239" t="s">
        <v>168</v>
      </c>
      <c r="C40" s="263">
        <v>0</v>
      </c>
      <c r="D40" s="290">
        <f>IF('FE Cash Flow'!D13&gt;0,-'FE Cash Flow'!D13,'FE Income Statement'!C40)</f>
        <v>0</v>
      </c>
      <c r="E40" s="290">
        <f>IF('FE Cash Flow'!E13&gt;0,-'FE Cash Flow'!E13,'FE Income Statement'!D40)</f>
        <v>0</v>
      </c>
      <c r="F40" s="290">
        <f>IF('FE Cash Flow'!F13&gt;0,-'FE Cash Flow'!F13,'FE Income Statement'!E40)</f>
        <v>0</v>
      </c>
      <c r="G40" s="290">
        <f>IF('FE Cash Flow'!G13&gt;0,-'FE Cash Flow'!G13,'FE Income Statement'!F40)</f>
        <v>0</v>
      </c>
      <c r="H40" s="290">
        <f>IF('FE Cash Flow'!H13&gt;0,-'FE Cash Flow'!H13,'FE Income Statement'!G40)</f>
        <v>-548459.50414591352</v>
      </c>
      <c r="I40" s="290">
        <f>IF('FE Cash Flow'!I13&gt;0,-'FE Cash Flow'!I13,'FE Income Statement'!H40)</f>
        <v>-898214.61743229162</v>
      </c>
      <c r="J40" s="1802"/>
      <c r="K40" s="1802"/>
      <c r="L40" s="1802"/>
      <c r="M40" s="1802"/>
      <c r="N40" s="1802"/>
      <c r="O40" s="1802"/>
      <c r="P40" s="1802"/>
      <c r="Q40" s="1802"/>
      <c r="R40" s="1802"/>
      <c r="S40" s="1802"/>
    </row>
    <row r="41" spans="2:19" x14ac:dyDescent="0.2">
      <c r="B41" s="398" t="s">
        <v>169</v>
      </c>
      <c r="C41" s="399"/>
      <c r="D41" s="397">
        <f t="shared" ref="D41:I41" si="5">SUM(D38:D40)</f>
        <v>-446554.07838800014</v>
      </c>
      <c r="E41" s="397">
        <f>SUM(E38:E40)</f>
        <v>-774536.58147038531</v>
      </c>
      <c r="F41" s="397">
        <f t="shared" si="5"/>
        <v>-887210.52268819639</v>
      </c>
      <c r="G41" s="397">
        <f t="shared" si="5"/>
        <v>-552144.34072561318</v>
      </c>
      <c r="H41" s="397">
        <f t="shared" si="5"/>
        <v>-196435.44510940928</v>
      </c>
      <c r="I41" s="397">
        <f t="shared" si="5"/>
        <v>273276.84910850832</v>
      </c>
    </row>
    <row r="42" spans="2:19" ht="16" thickBot="1" x14ac:dyDescent="0.25">
      <c r="E42" s="256"/>
    </row>
    <row r="43" spans="2:19" x14ac:dyDescent="0.2">
      <c r="B43" s="654" t="s">
        <v>170</v>
      </c>
      <c r="C43" s="655"/>
      <c r="D43" s="655"/>
      <c r="E43" s="656"/>
      <c r="F43" s="655"/>
      <c r="G43" s="655"/>
      <c r="H43" s="655"/>
      <c r="I43" s="657"/>
      <c r="L43" s="239"/>
    </row>
    <row r="44" spans="2:19" x14ac:dyDescent="0.2">
      <c r="B44" s="658"/>
      <c r="E44" s="256"/>
      <c r="I44" s="659"/>
    </row>
    <row r="45" spans="2:19" x14ac:dyDescent="0.2">
      <c r="B45" s="658" t="s">
        <v>171</v>
      </c>
      <c r="D45" s="295">
        <f>D30</f>
        <v>-611717.91560000018</v>
      </c>
      <c r="E45" s="295">
        <f t="shared" ref="E45:I45" si="6">E30</f>
        <v>-449291.10011285637</v>
      </c>
      <c r="F45" s="295">
        <f t="shared" si="6"/>
        <v>-154347.86468193296</v>
      </c>
      <c r="G45" s="295">
        <f t="shared" si="6"/>
        <v>458994.76981175784</v>
      </c>
      <c r="H45" s="295">
        <f t="shared" si="6"/>
        <v>1238586.8489892019</v>
      </c>
      <c r="I45" s="660">
        <f t="shared" si="6"/>
        <v>1873872.4817126156</v>
      </c>
    </row>
    <row r="46" spans="2:19" x14ac:dyDescent="0.2">
      <c r="B46" s="658"/>
      <c r="E46" s="256"/>
      <c r="I46" s="659"/>
    </row>
    <row r="47" spans="2:19" x14ac:dyDescent="0.2">
      <c r="B47" s="658" t="s">
        <v>172</v>
      </c>
      <c r="D47" s="295"/>
      <c r="E47" s="256">
        <f>IF(D50&gt;0,D50,0)</f>
        <v>611717.91560000018</v>
      </c>
      <c r="F47" s="256">
        <f>IF(E50&gt;0,E50,0)</f>
        <v>1061009.0157128565</v>
      </c>
      <c r="G47" s="256">
        <f>IF(F50&gt;0,F50,0)</f>
        <v>1215356.8803947894</v>
      </c>
      <c r="H47" s="256">
        <f>IF(G50&gt;0,G50,0)</f>
        <v>756362.11058303155</v>
      </c>
      <c r="I47" s="661">
        <f>IF(H50&gt;0,H50,0)</f>
        <v>0</v>
      </c>
    </row>
    <row r="48" spans="2:19" x14ac:dyDescent="0.2">
      <c r="B48" s="662" t="s">
        <v>173</v>
      </c>
      <c r="C48" s="239">
        <v>0</v>
      </c>
      <c r="D48" s="256">
        <f t="shared" ref="D48:I48" si="7">-IF(D45&lt;0,D45,0)</f>
        <v>611717.91560000018</v>
      </c>
      <c r="E48" s="256">
        <f t="shared" si="7"/>
        <v>449291.10011285637</v>
      </c>
      <c r="F48" s="256">
        <f t="shared" si="7"/>
        <v>154347.86468193296</v>
      </c>
      <c r="G48" s="256">
        <f t="shared" si="7"/>
        <v>0</v>
      </c>
      <c r="H48" s="256">
        <f t="shared" si="7"/>
        <v>0</v>
      </c>
      <c r="I48" s="661">
        <f t="shared" si="7"/>
        <v>0</v>
      </c>
    </row>
    <row r="49" spans="2:9" x14ac:dyDescent="0.2">
      <c r="B49" s="662" t="s">
        <v>174</v>
      </c>
      <c r="C49" s="239">
        <v>0</v>
      </c>
      <c r="D49" s="256" cm="1">
        <f t="array" ref="D49">-(_xlfn.IFS(D47=0,0,D45&gt;D47,D47,D47&lt;D45,D47,D45&lt;0,0,D45&lt;D47,D45))</f>
        <v>0</v>
      </c>
      <c r="E49" s="256" cm="1">
        <f t="array" ref="E49">-(_xlfn.IFS(E47=0,0,E45&gt;E47,E47,E47&lt;E45,E47,E45&lt;0,0,E45&lt;E47,E45))</f>
        <v>0</v>
      </c>
      <c r="F49" s="256" cm="1">
        <f t="array" ref="F49">-(_xlfn.IFS(F47=0,0,F45&gt;F47,F47,F47&lt;F45,F47,F45&lt;0,0,F45&lt;F47,F45))</f>
        <v>0</v>
      </c>
      <c r="G49" s="256" cm="1">
        <f t="array" ref="G49">-(_xlfn.IFS(G47=0,0,G45&gt;G47,G47,G47&lt;G45,G47,G45&lt;0,0,G45&lt;G47,G45))</f>
        <v>-458994.76981175784</v>
      </c>
      <c r="H49" s="256" cm="1">
        <f t="array" ref="H49">-(_xlfn.IFS(H47=0,0,H45&gt;H47,H47,H47&lt;H45,H47,H45&lt;0,0,H45&lt;H47,H45))</f>
        <v>-756362.11058303155</v>
      </c>
      <c r="I49" s="661" cm="1">
        <f t="array" ref="I49">-(_xlfn.IFS(I47=0,0,I45&gt;I47,I47,I47&lt;I45,I47,I45&lt;0,0,I45&lt;I47,I45))</f>
        <v>0</v>
      </c>
    </row>
    <row r="50" spans="2:9" x14ac:dyDescent="0.2">
      <c r="B50" s="658" t="s">
        <v>175</v>
      </c>
      <c r="C50" s="239">
        <f>SUM(C48:C49)</f>
        <v>0</v>
      </c>
      <c r="D50" s="256">
        <f t="shared" ref="D50:I50" si="8">SUM(D47:D49)</f>
        <v>611717.91560000018</v>
      </c>
      <c r="E50" s="256">
        <f>SUM(E47:E49)</f>
        <v>1061009.0157128565</v>
      </c>
      <c r="F50" s="256">
        <f t="shared" si="8"/>
        <v>1215356.8803947894</v>
      </c>
      <c r="G50" s="256">
        <f t="shared" si="8"/>
        <v>756362.11058303155</v>
      </c>
      <c r="H50" s="256">
        <f t="shared" si="8"/>
        <v>0</v>
      </c>
      <c r="I50" s="661">
        <f t="shared" si="8"/>
        <v>0</v>
      </c>
    </row>
    <row r="51" spans="2:9" x14ac:dyDescent="0.2">
      <c r="B51" s="658"/>
      <c r="E51" s="256"/>
      <c r="I51" s="659"/>
    </row>
    <row r="52" spans="2:9" x14ac:dyDescent="0.2">
      <c r="B52" s="663" t="s">
        <v>176</v>
      </c>
      <c r="C52" s="770"/>
      <c r="D52" s="771">
        <f t="shared" ref="D52:I52" si="9">SUM(D47:D49)</f>
        <v>611717.91560000018</v>
      </c>
      <c r="E52" s="771">
        <f t="shared" si="9"/>
        <v>1061009.0157128565</v>
      </c>
      <c r="F52" s="771">
        <f t="shared" si="9"/>
        <v>1215356.8803947894</v>
      </c>
      <c r="G52" s="771">
        <f t="shared" si="9"/>
        <v>756362.11058303155</v>
      </c>
      <c r="H52" s="771">
        <f t="shared" si="9"/>
        <v>0</v>
      </c>
      <c r="I52" s="664">
        <f t="shared" si="9"/>
        <v>0</v>
      </c>
    </row>
    <row r="53" spans="2:9" x14ac:dyDescent="0.2">
      <c r="B53" s="658"/>
      <c r="E53" s="256"/>
      <c r="I53" s="659"/>
    </row>
    <row r="54" spans="2:9" x14ac:dyDescent="0.2">
      <c r="B54" s="658" t="s">
        <v>177</v>
      </c>
      <c r="D54" s="256">
        <f t="shared" ref="D54:I54" si="10">+D45+D49</f>
        <v>-611717.91560000018</v>
      </c>
      <c r="E54" s="256">
        <f t="shared" si="10"/>
        <v>-449291.10011285637</v>
      </c>
      <c r="F54" s="256">
        <f t="shared" si="10"/>
        <v>-154347.86468193296</v>
      </c>
      <c r="G54" s="256">
        <f>+G45+G49</f>
        <v>0</v>
      </c>
      <c r="H54" s="256">
        <f t="shared" si="10"/>
        <v>482224.73840617039</v>
      </c>
      <c r="I54" s="661">
        <f t="shared" si="10"/>
        <v>1873872.4817126156</v>
      </c>
    </row>
    <row r="55" spans="2:9" x14ac:dyDescent="0.2">
      <c r="B55" s="658" t="s">
        <v>178</v>
      </c>
      <c r="D55" s="256">
        <f>-MAX(0,D54)*'FE Assumptions'!$C$122</f>
        <v>0</v>
      </c>
      <c r="E55" s="256">
        <f>-MAX(0,E54)*'FE Assumptions'!$C$122</f>
        <v>0</v>
      </c>
      <c r="F55" s="256">
        <f>-MAX(0,F54)*'FE Assumptions'!$C$122</f>
        <v>0</v>
      </c>
      <c r="G55" s="256">
        <f>-MAX(0,G54)*'FE Assumptions'!$C$122</f>
        <v>0</v>
      </c>
      <c r="H55" s="256">
        <f>-MAX(0,H54)*'FE Assumptions'!$C$122</f>
        <v>-130200.67936966602</v>
      </c>
      <c r="I55" s="661">
        <f>-MAX(0,I54)*'FE Assumptions'!$C$122</f>
        <v>-505945.57006240624</v>
      </c>
    </row>
    <row r="56" spans="2:9" ht="16" thickBot="1" x14ac:dyDescent="0.25">
      <c r="B56" s="665" t="s">
        <v>179</v>
      </c>
      <c r="C56" s="666"/>
      <c r="D56" s="667">
        <f t="shared" ref="D56:I56" si="11">+D55-D32</f>
        <v>-165163.83721200007</v>
      </c>
      <c r="E56" s="667">
        <f t="shared" si="11"/>
        <v>-121308.59703047122</v>
      </c>
      <c r="F56" s="667">
        <f t="shared" si="11"/>
        <v>-41673.923464121901</v>
      </c>
      <c r="G56" s="667">
        <f t="shared" si="11"/>
        <v>123928.58784917463</v>
      </c>
      <c r="H56" s="667">
        <f>+H55-H32</f>
        <v>204217.76985741849</v>
      </c>
      <c r="I56" s="668">
        <f t="shared" si="11"/>
        <v>0</v>
      </c>
    </row>
    <row r="57" spans="2:9" x14ac:dyDescent="0.2">
      <c r="E57" s="256"/>
    </row>
    <row r="58" spans="2:9" x14ac:dyDescent="0.2">
      <c r="B58" s="242" t="s">
        <v>180</v>
      </c>
      <c r="C58" s="242"/>
      <c r="D58" s="243" t="s">
        <v>40</v>
      </c>
      <c r="E58" s="243" t="s">
        <v>41</v>
      </c>
      <c r="F58" s="243" t="s">
        <v>42</v>
      </c>
      <c r="G58" s="243" t="s">
        <v>43</v>
      </c>
      <c r="H58" s="243" t="s">
        <v>44</v>
      </c>
      <c r="I58" s="243" t="s">
        <v>45</v>
      </c>
    </row>
    <row r="59" spans="2:9" x14ac:dyDescent="0.2">
      <c r="B59" s="244"/>
      <c r="C59" s="247"/>
      <c r="E59" s="256"/>
    </row>
    <row r="60" spans="2:9" x14ac:dyDescent="0.2">
      <c r="B60" s="239" t="s">
        <v>181</v>
      </c>
      <c r="E60" s="38">
        <f>(E9/E5)*-1</f>
        <v>0.63178584182900088</v>
      </c>
      <c r="F60" s="38">
        <f>(F9/F5)*-1</f>
        <v>0.54875228395449649</v>
      </c>
      <c r="G60" s="38">
        <f>(G9/G5)*-1</f>
        <v>0.47498299142354272</v>
      </c>
      <c r="H60" s="38">
        <f>(H9/H5)*-1</f>
        <v>0.46354949950359514</v>
      </c>
      <c r="I60" s="38">
        <f>(I9/I5)*-1</f>
        <v>0.46896541265337799</v>
      </c>
    </row>
    <row r="61" spans="2:9" ht="15" customHeight="1" x14ac:dyDescent="0.2">
      <c r="B61" s="239" t="s">
        <v>182</v>
      </c>
      <c r="E61" s="296">
        <f>E11/E5</f>
        <v>0.36821415817099912</v>
      </c>
      <c r="F61" s="296">
        <f>F11/F5</f>
        <v>0.45124771604550351</v>
      </c>
      <c r="G61" s="296">
        <f>G11/G5</f>
        <v>0.52501700857645728</v>
      </c>
      <c r="H61" s="296">
        <f>H11/H5</f>
        <v>0.53645050049640486</v>
      </c>
      <c r="I61" s="296">
        <f>I11/I5</f>
        <v>0.53103458734662201</v>
      </c>
    </row>
    <row r="62" spans="2:9" ht="13.5" customHeight="1" x14ac:dyDescent="0.2">
      <c r="B62" s="239" t="s">
        <v>183</v>
      </c>
      <c r="E62" s="296">
        <f>E30/E5</f>
        <v>-0.66690668321282132</v>
      </c>
      <c r="F62" s="296">
        <f>F30/F5</f>
        <v>-0.11644369484178659</v>
      </c>
      <c r="G62" s="296">
        <f>G30/G5</f>
        <v>0.13939443788985639</v>
      </c>
      <c r="H62" s="296">
        <f>H30/H5</f>
        <v>0.22519045151378256</v>
      </c>
      <c r="I62" s="296">
        <f>I30/I5</f>
        <v>0.24864464040046913</v>
      </c>
    </row>
    <row r="63" spans="2:9" ht="14.25" customHeight="1" x14ac:dyDescent="0.2">
      <c r="B63" s="239" t="s">
        <v>184</v>
      </c>
      <c r="E63" s="38">
        <f>E34/E5</f>
        <v>-0.48684187874535961</v>
      </c>
      <c r="F63" s="38">
        <f>F34/F5</f>
        <v>-8.5003897234504203E-2</v>
      </c>
      <c r="G63" s="38">
        <f>G34/G5</f>
        <v>0.10175793965959516</v>
      </c>
      <c r="H63" s="38">
        <f>H34/H5</f>
        <v>0.16438902960506127</v>
      </c>
      <c r="I63" s="38">
        <f>I34/I5</f>
        <v>0.18151058749234245</v>
      </c>
    </row>
    <row r="64" spans="2:9" ht="15.75" customHeight="1" x14ac:dyDescent="0.2">
      <c r="B64" s="239" t="s">
        <v>185</v>
      </c>
      <c r="E64" s="38">
        <f>(SUM(E14:E16,E19:E26)/E5)*-1</f>
        <v>0.75079243065518908</v>
      </c>
      <c r="F64" s="38">
        <f>(SUM(F14:F16,F19:F26)/F5)*-1</f>
        <v>0.40291510196133545</v>
      </c>
      <c r="G64" s="38">
        <f>(SUM(G14:G16,G19:G26)/G5)*-1</f>
        <v>0.26345864314925316</v>
      </c>
      <c r="H64" s="38">
        <f>(SUM(H14:H16,H19:H26)/H5)*-1</f>
        <v>0.19439110326396639</v>
      </c>
      <c r="I64" s="38">
        <f>(SUM(I14:I16,I19:I26)/I5)*-1</f>
        <v>0.14596665963248873</v>
      </c>
    </row>
    <row r="65" spans="2:9" ht="16.5" customHeight="1" x14ac:dyDescent="0.2">
      <c r="B65" s="239" t="s">
        <v>186</v>
      </c>
      <c r="E65" s="38">
        <f>(SUM(E17:E18)/E5)*-1</f>
        <v>0.28432841072863141</v>
      </c>
      <c r="F65" s="38">
        <f>(SUM(F17:F18)/F5)*-1</f>
        <v>0.16477630892595471</v>
      </c>
      <c r="G65" s="38">
        <f>(SUM(G17:G18)/G5)*-1</f>
        <v>0.12216392753734769</v>
      </c>
      <c r="H65" s="38">
        <f>(SUM(H17:H18)/H5)*-1</f>
        <v>0.1168689457186559</v>
      </c>
      <c r="I65" s="38">
        <f>(SUM(I17:I18)/I5)*-1</f>
        <v>0.13642328731366413</v>
      </c>
    </row>
    <row r="66" spans="2:9" x14ac:dyDescent="0.2">
      <c r="C66"/>
      <c r="D66"/>
      <c r="E66" s="64"/>
      <c r="F66"/>
      <c r="G66"/>
      <c r="H66"/>
      <c r="I66"/>
    </row>
    <row r="67" spans="2:9" x14ac:dyDescent="0.2">
      <c r="B67"/>
      <c r="C67"/>
      <c r="D67"/>
      <c r="E67"/>
      <c r="F67"/>
      <c r="G67"/>
      <c r="H67"/>
      <c r="I67" s="296"/>
    </row>
    <row r="68" spans="2:9" x14ac:dyDescent="0.2">
      <c r="D68" s="281"/>
      <c r="E68" s="281"/>
      <c r="F68" s="281"/>
      <c r="G68" s="281"/>
      <c r="H68" s="281"/>
      <c r="I68" s="296"/>
    </row>
    <row r="69" spans="2:9" x14ac:dyDescent="0.2">
      <c r="D69" s="297"/>
      <c r="E69" s="297"/>
      <c r="F69" s="297"/>
      <c r="G69" s="297"/>
      <c r="H69" s="297"/>
      <c r="I69" s="297"/>
    </row>
    <row r="70" spans="2:9" x14ac:dyDescent="0.2">
      <c r="D70" s="297"/>
      <c r="E70" s="297"/>
      <c r="F70" s="297"/>
      <c r="G70" s="297"/>
      <c r="H70" s="297"/>
      <c r="I70" s="297"/>
    </row>
    <row r="71" spans="2:9" x14ac:dyDescent="0.2">
      <c r="D71" s="281"/>
      <c r="E71" s="281"/>
      <c r="F71" s="281"/>
      <c r="G71" s="281"/>
      <c r="H71" s="281"/>
      <c r="I71" s="281"/>
    </row>
    <row r="72" spans="2:9" x14ac:dyDescent="0.2">
      <c r="D72" s="296"/>
      <c r="E72" s="296"/>
      <c r="F72" s="281"/>
      <c r="G72" s="281"/>
      <c r="H72" s="281"/>
      <c r="I72" s="281"/>
    </row>
    <row r="73" spans="2:9" x14ac:dyDescent="0.2">
      <c r="D73" s="400"/>
      <c r="E73" s="400"/>
      <c r="F73" s="297"/>
      <c r="G73" s="297"/>
      <c r="H73" s="297"/>
      <c r="I73" s="297"/>
    </row>
    <row r="74" spans="2:9" x14ac:dyDescent="0.2">
      <c r="D74" s="296"/>
      <c r="E74" s="296"/>
      <c r="F74" s="281"/>
      <c r="G74" s="281"/>
      <c r="H74" s="281"/>
      <c r="I74" s="281"/>
    </row>
    <row r="75" spans="2:9" x14ac:dyDescent="0.2">
      <c r="D75" s="296"/>
      <c r="E75" s="296"/>
      <c r="F75" s="281"/>
      <c r="G75" s="281"/>
      <c r="H75" s="281"/>
      <c r="I75" s="281"/>
    </row>
    <row r="76" spans="2:9" x14ac:dyDescent="0.2">
      <c r="D76" s="296"/>
      <c r="E76" s="296"/>
      <c r="F76" s="281"/>
      <c r="G76" s="281"/>
      <c r="H76" s="281"/>
      <c r="I76" s="281"/>
    </row>
    <row r="77" spans="2:9" x14ac:dyDescent="0.2">
      <c r="D77" s="296"/>
      <c r="E77" s="296"/>
      <c r="F77" s="281"/>
      <c r="G77" s="281"/>
      <c r="H77" s="281"/>
      <c r="I77" s="281"/>
    </row>
    <row r="78" spans="2:9" x14ac:dyDescent="0.2">
      <c r="D78" s="400"/>
      <c r="E78" s="400"/>
      <c r="F78" s="297"/>
      <c r="G78" s="297"/>
      <c r="H78" s="297"/>
      <c r="I78" s="297"/>
    </row>
    <row r="79" spans="2:9" x14ac:dyDescent="0.2">
      <c r="D79" s="297"/>
      <c r="E79" s="297"/>
      <c r="F79" s="297"/>
      <c r="G79" s="297"/>
      <c r="H79" s="297"/>
      <c r="I79" s="297"/>
    </row>
    <row r="80" spans="2:9" x14ac:dyDescent="0.2">
      <c r="B80" s="247"/>
      <c r="C80" s="247"/>
      <c r="D80" s="281"/>
      <c r="E80" s="281"/>
      <c r="F80" s="281"/>
      <c r="G80" s="281"/>
      <c r="H80" s="281"/>
      <c r="I80" s="281"/>
    </row>
    <row r="81" spans="4:9" x14ac:dyDescent="0.2">
      <c r="D81" s="281"/>
      <c r="E81" s="281"/>
      <c r="F81" s="281"/>
      <c r="G81" s="281"/>
      <c r="H81" s="281"/>
      <c r="I81" s="281"/>
    </row>
    <row r="82" spans="4:9" x14ac:dyDescent="0.2">
      <c r="D82" s="281"/>
      <c r="E82" s="281"/>
      <c r="F82" s="281"/>
      <c r="G82" s="281"/>
      <c r="H82" s="281"/>
      <c r="I82" s="281"/>
    </row>
    <row r="83" spans="4:9" x14ac:dyDescent="0.2">
      <c r="D83" s="286"/>
      <c r="E83" s="286"/>
      <c r="F83" s="286"/>
      <c r="G83" s="286"/>
      <c r="H83" s="286"/>
      <c r="I83" s="286"/>
    </row>
    <row r="96" spans="4:9" x14ac:dyDescent="0.2">
      <c r="D96" s="54"/>
    </row>
  </sheetData>
  <mergeCells count="2">
    <mergeCell ref="J40:S40"/>
    <mergeCell ref="J39:S39"/>
  </mergeCells>
  <hyperlinks>
    <hyperlink ref="B1" location="Index!A1" display="Back to Index" xr:uid="{E246B003-D961-4C3E-BF7C-09E8D0D90B81}"/>
  </hyperlinks>
  <printOptions gridLinesSet="0"/>
  <pageMargins left="0.75" right="0.75" top="1" bottom="1" header="0.5" footer="0.5"/>
  <pageSetup scale="92" orientation="landscape" r:id="rId1"/>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F1EE5-CC43-4B6E-B040-01A3F5319FEA}">
  <sheetPr published="0">
    <tabColor rgb="FF00B050"/>
    <pageSetUpPr fitToPage="1"/>
  </sheetPr>
  <dimension ref="A1:O69"/>
  <sheetViews>
    <sheetView showGridLines="0" zoomScale="150" zoomScaleNormal="90" zoomScalePageLayoutView="120" workbookViewId="0">
      <pane ySplit="3" topLeftCell="A4" activePane="bottomLeft" state="frozen"/>
      <selection pane="bottomLeft" activeCell="C19" sqref="C19"/>
    </sheetView>
  </sheetViews>
  <sheetFormatPr baseColWidth="10" defaultColWidth="8.5" defaultRowHeight="15" x14ac:dyDescent="0.2"/>
  <cols>
    <col min="1" max="1" width="1.83203125" style="267" customWidth="1"/>
    <col min="2" max="2" width="34.5" style="239" customWidth="1"/>
    <col min="3" max="3" width="14.5" style="239" customWidth="1"/>
    <col min="4" max="4" width="14.6640625" style="239" bestFit="1" customWidth="1"/>
    <col min="5" max="5" width="13.5" style="239" customWidth="1"/>
    <col min="6" max="6" width="14" style="239" customWidth="1"/>
    <col min="7" max="7" width="19.5" style="239" customWidth="1"/>
    <col min="8" max="8" width="18" style="239" customWidth="1"/>
    <col min="9" max="9" width="13.5" style="239" customWidth="1"/>
    <col min="10" max="13" width="8.5" style="239"/>
    <col min="14" max="14" width="17.1640625" style="239" customWidth="1"/>
    <col min="15" max="16384" width="8.5" style="239"/>
  </cols>
  <sheetData>
    <row r="1" spans="1:11" ht="16" x14ac:dyDescent="0.2">
      <c r="A1" s="763" t="s">
        <v>38</v>
      </c>
      <c r="B1" s="57" t="s">
        <v>37</v>
      </c>
    </row>
    <row r="2" spans="1:11" ht="16" x14ac:dyDescent="0.2">
      <c r="B2" s="240" t="s">
        <v>187</v>
      </c>
      <c r="C2" s="241"/>
      <c r="D2" s="241"/>
      <c r="E2" s="241"/>
      <c r="F2" s="241"/>
      <c r="G2" s="241"/>
      <c r="H2" s="241"/>
      <c r="I2" s="241"/>
    </row>
    <row r="3" spans="1:11" ht="16" thickBot="1" x14ac:dyDescent="0.25">
      <c r="B3" s="242" t="s">
        <v>39</v>
      </c>
      <c r="C3" s="241" t="s">
        <v>188</v>
      </c>
      <c r="D3" s="243" t="s">
        <v>40</v>
      </c>
      <c r="E3" s="243" t="s">
        <v>41</v>
      </c>
      <c r="F3" s="243" t="s">
        <v>42</v>
      </c>
      <c r="G3" s="243" t="s">
        <v>43</v>
      </c>
      <c r="H3" s="243" t="s">
        <v>44</v>
      </c>
      <c r="I3" s="243" t="s">
        <v>45</v>
      </c>
    </row>
    <row r="4" spans="1:11" x14ac:dyDescent="0.2">
      <c r="B4" s="244"/>
      <c r="C4" s="268"/>
      <c r="D4" s="245"/>
      <c r="E4" s="245"/>
      <c r="F4" s="245"/>
      <c r="G4" s="245"/>
      <c r="H4" s="245"/>
      <c r="I4" s="245"/>
    </row>
    <row r="5" spans="1:11" x14ac:dyDescent="0.2">
      <c r="B5" s="239" t="s">
        <v>189</v>
      </c>
      <c r="D5" s="260">
        <f>-('FE Balance Sheet'!D18)</f>
        <v>-27711.4</v>
      </c>
      <c r="E5" s="269" t="s">
        <v>38</v>
      </c>
      <c r="F5" s="269" t="s">
        <v>38</v>
      </c>
      <c r="G5" s="269" t="s">
        <v>38</v>
      </c>
      <c r="H5" s="269" t="s">
        <v>38</v>
      </c>
      <c r="I5" s="269" t="s">
        <v>38</v>
      </c>
    </row>
    <row r="6" spans="1:11" x14ac:dyDescent="0.2">
      <c r="D6" s="260"/>
      <c r="E6" s="269"/>
      <c r="F6" s="269"/>
      <c r="G6" s="269"/>
      <c r="H6" s="269"/>
      <c r="I6" s="269"/>
    </row>
    <row r="7" spans="1:11" x14ac:dyDescent="0.2">
      <c r="C7" s="265" t="s">
        <v>190</v>
      </c>
      <c r="D7" s="270" t="b">
        <f>D8='FE Income Statement'!D34</f>
        <v>1</v>
      </c>
      <c r="E7" s="270" t="b">
        <f>E8='FE Income Statement'!E34</f>
        <v>1</v>
      </c>
      <c r="F7" s="270" t="b">
        <f>F8='FE Income Statement'!F34</f>
        <v>1</v>
      </c>
      <c r="G7" s="270" t="b">
        <f>G8='FE Income Statement'!G34</f>
        <v>1</v>
      </c>
      <c r="H7" s="270" t="b">
        <f>H8='FE Income Statement'!H34</f>
        <v>1</v>
      </c>
      <c r="I7" s="270" t="b">
        <f>I8='FE Income Statement'!I34</f>
        <v>1</v>
      </c>
    </row>
    <row r="8" spans="1:11" x14ac:dyDescent="0.2">
      <c r="B8" s="239" t="s">
        <v>191</v>
      </c>
      <c r="D8" s="269">
        <f>'FE Income Statement'!D34</f>
        <v>-446554.07838800014</v>
      </c>
      <c r="E8" s="271">
        <f>'FE Income Statement'!E34</f>
        <v>-327982.50308238517</v>
      </c>
      <c r="F8" s="271">
        <f>'FE Income Statement'!F34</f>
        <v>-112673.94121781105</v>
      </c>
      <c r="G8" s="271">
        <f>'FE Income Statement'!G34</f>
        <v>335066.18196258321</v>
      </c>
      <c r="H8" s="271">
        <f>'FE Income Statement'!H34</f>
        <v>904168.39976211742</v>
      </c>
      <c r="I8" s="271">
        <f>'FE Income Statement'!I34</f>
        <v>1367926.9116502092</v>
      </c>
    </row>
    <row r="9" spans="1:11" x14ac:dyDescent="0.2">
      <c r="B9" s="272" t="s">
        <v>192</v>
      </c>
      <c r="C9" s="272"/>
      <c r="D9" s="269" t="s">
        <v>38</v>
      </c>
      <c r="E9" s="273">
        <f>-('FE Income Statement'!E19+'FE Income Statement'!E20+'FE Income Statement'!E21)</f>
        <v>7338.4390000000003</v>
      </c>
      <c r="F9" s="273">
        <f>-('FE Income Statement'!F19+'FE Income Statement'!F20+'FE Income Statement'!F21)</f>
        <v>6130.4570000000003</v>
      </c>
      <c r="G9" s="273">
        <f>-('FE Income Statement'!G19+'FE Income Statement'!G20+'FE Income Statement'!G21)</f>
        <v>6914.2260000000006</v>
      </c>
      <c r="H9" s="273">
        <f>-('FE Income Statement'!H19+'FE Income Statement'!H20+'FE Income Statement'!H21)</f>
        <v>8481.5220000000008</v>
      </c>
      <c r="I9" s="273">
        <f>-('FE Income Statement'!I19+'FE Income Statement'!I20+'FE Income Statement'!I21)</f>
        <v>7901.5320000000002</v>
      </c>
    </row>
    <row r="10" spans="1:11" x14ac:dyDescent="0.2">
      <c r="B10" s="272" t="s">
        <v>193</v>
      </c>
      <c r="C10" s="272"/>
      <c r="D10" s="273">
        <f>'FE Income Statement'!D56</f>
        <v>-165163.83721200007</v>
      </c>
      <c r="E10" s="273">
        <f>'FE Income Statement'!E56</f>
        <v>-121308.59703047122</v>
      </c>
      <c r="F10" s="273">
        <f>'FE Income Statement'!F56</f>
        <v>-41673.923464121901</v>
      </c>
      <c r="G10" s="273">
        <f>'FE Income Statement'!G56</f>
        <v>123928.58784917463</v>
      </c>
      <c r="H10" s="273">
        <f>'FE Income Statement'!H56</f>
        <v>204217.76985741849</v>
      </c>
      <c r="I10" s="273">
        <f>'FE Income Statement'!I56</f>
        <v>0</v>
      </c>
    </row>
    <row r="11" spans="1:11" x14ac:dyDescent="0.2">
      <c r="B11" s="272" t="s">
        <v>194</v>
      </c>
      <c r="C11" s="272"/>
      <c r="D11" s="49">
        <f>-'FE Balance Sheet'!D36+'FE Balance Sheet'!C36</f>
        <v>-5148.6833138581205</v>
      </c>
      <c r="E11" s="49">
        <f>-'FE Balance Sheet'!E36+'FE Balance Sheet'!D36</f>
        <v>-138624.13196171567</v>
      </c>
      <c r="F11" s="49">
        <f>-'FE Balance Sheet'!F36+'FE Balance Sheet'!E36</f>
        <v>-152259.90770493224</v>
      </c>
      <c r="G11" s="49">
        <f>-'FE Balance Sheet'!G36+'FE Balance Sheet'!F36</f>
        <v>-467621.05245444691</v>
      </c>
      <c r="H11" s="49">
        <f>-'FE Balance Sheet'!H36+'FE Balance Sheet'!G36</f>
        <v>-562483.7074736224</v>
      </c>
      <c r="I11" s="49">
        <f>-'FE Balance Sheet'!I36+'FE Balance Sheet'!H36</f>
        <v>-477483.82621791749</v>
      </c>
    </row>
    <row r="12" spans="1:11" x14ac:dyDescent="0.2">
      <c r="B12" s="272" t="s">
        <v>195</v>
      </c>
      <c r="C12" s="272"/>
      <c r="D12" s="269" t="s">
        <v>38</v>
      </c>
      <c r="E12" s="274">
        <f>-('FE Assumptions'!C78+'FE Assumptions'!D110)</f>
        <v>-8198.86</v>
      </c>
      <c r="F12" s="274">
        <f>-('FE Assumptions'!D78+'FE Assumptions'!E110)</f>
        <v>-389.99</v>
      </c>
      <c r="G12" s="274">
        <f>-('FE Assumptions'!E78+'FE Assumptions'!F110)</f>
        <v>-1100.92</v>
      </c>
      <c r="H12" s="274">
        <f>-('FE Assumptions'!F78+'FE Assumptions'!G110)</f>
        <v>-5924.48</v>
      </c>
      <c r="I12" s="274">
        <f>-('FE Assumptions'!G78+'FE Assumptions'!H110)</f>
        <v>-130</v>
      </c>
    </row>
    <row r="13" spans="1:11" x14ac:dyDescent="0.2">
      <c r="B13" s="264" t="s">
        <v>196</v>
      </c>
      <c r="C13" s="264"/>
      <c r="D13" s="259">
        <f>SUM(D5:D12)</f>
        <v>-644577.99891385832</v>
      </c>
      <c r="E13" s="259">
        <f>SUM(E5:E12)</f>
        <v>-588775.65307457198</v>
      </c>
      <c r="F13" s="259">
        <f t="shared" ref="F13:I13" si="0">SUM(F5:F12)</f>
        <v>-300867.30538686516</v>
      </c>
      <c r="G13" s="259">
        <f t="shared" si="0"/>
        <v>-2812.9766426890437</v>
      </c>
      <c r="H13" s="259">
        <f t="shared" si="0"/>
        <v>548459.50414591352</v>
      </c>
      <c r="I13" s="259">
        <f t="shared" si="0"/>
        <v>898214.61743229162</v>
      </c>
    </row>
    <row r="14" spans="1:11" x14ac:dyDescent="0.2">
      <c r="D14" s="275"/>
      <c r="E14" s="276"/>
      <c r="F14" s="276"/>
      <c r="G14" s="276"/>
      <c r="H14" s="276"/>
      <c r="I14" s="275"/>
    </row>
    <row r="15" spans="1:11" x14ac:dyDescent="0.2">
      <c r="B15" s="239" t="s">
        <v>197</v>
      </c>
      <c r="D15" s="269"/>
      <c r="E15" s="260"/>
      <c r="F15" s="260"/>
      <c r="G15" s="260"/>
      <c r="H15" s="260"/>
      <c r="I15" s="269">
        <f>MAX('FE Terminal Value'!E23,0)</f>
        <v>2915665.0755391964</v>
      </c>
      <c r="J15" s="277"/>
      <c r="K15" s="277"/>
    </row>
    <row r="16" spans="1:11" x14ac:dyDescent="0.2">
      <c r="D16" s="269"/>
      <c r="E16" s="278"/>
      <c r="F16" s="278" t="s">
        <v>38</v>
      </c>
      <c r="G16" s="278" t="s">
        <v>38</v>
      </c>
      <c r="H16" s="278" t="s">
        <v>38</v>
      </c>
      <c r="I16" s="279"/>
    </row>
    <row r="17" spans="2:15" x14ac:dyDescent="0.2">
      <c r="B17" s="264" t="s">
        <v>198</v>
      </c>
      <c r="C17" s="264"/>
      <c r="D17" s="259">
        <f>SUM(D13:D16)</f>
        <v>-644577.99891385832</v>
      </c>
      <c r="E17" s="259">
        <f>SUM(E13:E16)</f>
        <v>-588775.65307457198</v>
      </c>
      <c r="F17" s="259">
        <f>SUM(F13:F16)</f>
        <v>-300867.30538686516</v>
      </c>
      <c r="G17" s="259">
        <f>SUM(G13:G16)</f>
        <v>-2812.9766426890437</v>
      </c>
      <c r="H17" s="259">
        <f>SUM(H13:H16)</f>
        <v>548459.50414591352</v>
      </c>
      <c r="I17" s="259">
        <f t="shared" ref="I17" si="1">SUM(I13:I16)</f>
        <v>3813879.692971488</v>
      </c>
    </row>
    <row r="18" spans="2:15" x14ac:dyDescent="0.2">
      <c r="D18" s="260"/>
      <c r="E18" s="278"/>
      <c r="F18" s="284"/>
      <c r="G18" s="284"/>
      <c r="H18" s="284"/>
      <c r="I18" s="284"/>
      <c r="J18" s="284"/>
    </row>
    <row r="19" spans="2:15" x14ac:dyDescent="0.2">
      <c r="B19" s="247" t="s">
        <v>199</v>
      </c>
      <c r="C19" s="982">
        <f>NPV('FE Assumptions'!C119,'FE Cash Flow'!E17:I17)+'FE Cash Flow'!D17</f>
        <v>547309.65029731533</v>
      </c>
      <c r="D19" s="1052"/>
      <c r="E19" s="651"/>
      <c r="F19" s="1685"/>
      <c r="G19" s="112"/>
      <c r="H19" s="112"/>
      <c r="I19" s="113"/>
      <c r="J19" s="113"/>
      <c r="K19" s="113"/>
      <c r="L19" s="113"/>
      <c r="M19" s="113"/>
      <c r="N19" s="113"/>
      <c r="O19" s="113"/>
    </row>
    <row r="20" spans="2:15" x14ac:dyDescent="0.2">
      <c r="B20" s="239" t="s">
        <v>38</v>
      </c>
      <c r="C20" s="239" t="s">
        <v>46</v>
      </c>
      <c r="D20" s="1053" t="s">
        <v>38</v>
      </c>
      <c r="E20" s="281"/>
      <c r="F20" s="281"/>
      <c r="G20" s="281"/>
      <c r="H20" s="281"/>
      <c r="I20" s="280" t="s">
        <v>38</v>
      </c>
    </row>
    <row r="21" spans="2:15" x14ac:dyDescent="0.2">
      <c r="B21" s="247" t="s">
        <v>200</v>
      </c>
      <c r="C21" s="1069">
        <f>IRR(D17:I17)</f>
        <v>0.28580986106668571</v>
      </c>
      <c r="D21" s="1054"/>
      <c r="E21" s="1381"/>
      <c r="F21" s="281"/>
      <c r="G21" s="281"/>
      <c r="H21" s="281"/>
      <c r="I21" s="280" t="s">
        <v>38</v>
      </c>
    </row>
    <row r="22" spans="2:15" x14ac:dyDescent="0.2">
      <c r="C22" s="296"/>
      <c r="D22" s="283"/>
      <c r="E22" s="281"/>
      <c r="F22" s="281"/>
      <c r="G22" s="281"/>
      <c r="H22" s="281"/>
      <c r="I22" s="280" t="s">
        <v>38</v>
      </c>
    </row>
    <row r="23" spans="2:15" x14ac:dyDescent="0.2">
      <c r="C23" s="296"/>
      <c r="D23" s="379"/>
      <c r="E23" s="281"/>
      <c r="F23" s="281"/>
      <c r="G23" s="281"/>
      <c r="H23" s="281"/>
      <c r="I23" s="280"/>
    </row>
    <row r="24" spans="2:15" x14ac:dyDescent="0.2">
      <c r="E24" s="280" t="s">
        <v>38</v>
      </c>
      <c r="F24" s="280" t="s">
        <v>38</v>
      </c>
      <c r="G24" s="280" t="s">
        <v>38</v>
      </c>
      <c r="H24" s="280" t="s">
        <v>201</v>
      </c>
      <c r="I24" s="280" t="s">
        <v>38</v>
      </c>
    </row>
    <row r="25" spans="2:15" x14ac:dyDescent="0.2">
      <c r="D25" s="281"/>
      <c r="E25" s="281"/>
      <c r="F25" s="281"/>
      <c r="G25" s="281"/>
      <c r="H25" s="281"/>
      <c r="I25" s="281"/>
    </row>
    <row r="26" spans="2:15" x14ac:dyDescent="0.2">
      <c r="D26" s="281"/>
      <c r="E26" s="403"/>
      <c r="F26" s="281"/>
      <c r="G26" s="281"/>
      <c r="H26" s="281"/>
      <c r="I26" s="281"/>
      <c r="N26" s="284"/>
    </row>
    <row r="27" spans="2:15" x14ac:dyDescent="0.2">
      <c r="D27" s="281"/>
      <c r="E27" s="281"/>
      <c r="F27" s="281"/>
      <c r="G27" s="281"/>
      <c r="H27" s="281"/>
      <c r="I27" s="281"/>
    </row>
    <row r="28" spans="2:15" x14ac:dyDescent="0.2">
      <c r="I28" s="281"/>
    </row>
    <row r="29" spans="2:15" x14ac:dyDescent="0.2">
      <c r="I29" s="281"/>
    </row>
    <row r="30" spans="2:15" x14ac:dyDescent="0.2">
      <c r="I30" s="281"/>
    </row>
    <row r="31" spans="2:15" x14ac:dyDescent="0.2">
      <c r="I31" s="281"/>
    </row>
    <row r="32" spans="2:15" x14ac:dyDescent="0.2">
      <c r="I32" s="281"/>
    </row>
    <row r="33" spans="5:9" x14ac:dyDescent="0.2">
      <c r="I33" s="281"/>
    </row>
    <row r="34" spans="5:9" x14ac:dyDescent="0.2">
      <c r="E34" s="256"/>
      <c r="I34" s="281"/>
    </row>
    <row r="35" spans="5:9" x14ac:dyDescent="0.2">
      <c r="I35" s="281"/>
    </row>
    <row r="36" spans="5:9" x14ac:dyDescent="0.2">
      <c r="I36" s="281"/>
    </row>
    <row r="37" spans="5:9" x14ac:dyDescent="0.2">
      <c r="I37" s="281"/>
    </row>
    <row r="38" spans="5:9" x14ac:dyDescent="0.2">
      <c r="I38" s="281"/>
    </row>
    <row r="39" spans="5:9" x14ac:dyDescent="0.2">
      <c r="I39" s="281"/>
    </row>
    <row r="40" spans="5:9" x14ac:dyDescent="0.2">
      <c r="I40" s="281"/>
    </row>
    <row r="41" spans="5:9" x14ac:dyDescent="0.2">
      <c r="I41" s="281"/>
    </row>
    <row r="42" spans="5:9" x14ac:dyDescent="0.2">
      <c r="I42" s="281"/>
    </row>
    <row r="43" spans="5:9" x14ac:dyDescent="0.2">
      <c r="I43" s="281"/>
    </row>
    <row r="44" spans="5:9" x14ac:dyDescent="0.2">
      <c r="I44" s="281"/>
    </row>
    <row r="69" spans="4:4" x14ac:dyDescent="0.2">
      <c r="D69" s="54"/>
    </row>
  </sheetData>
  <hyperlinks>
    <hyperlink ref="B1" location="Index!A1" display="Back to Index" xr:uid="{266F7B08-6B4C-4ACE-BE0F-0091C41D08C5}"/>
  </hyperlinks>
  <printOptions gridLinesSet="0"/>
  <pageMargins left="0.75" right="0.75" top="1" bottom="1" header="0.5" footer="0.5"/>
  <pageSetup scale="80" orientation="landscape" r:id="rId1"/>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86A78-AA28-4529-A746-2B39DC20A28A}">
  <sheetPr published="0">
    <tabColor rgb="FF00B050"/>
    <pageSetUpPr fitToPage="1"/>
  </sheetPr>
  <dimension ref="B1:Z71"/>
  <sheetViews>
    <sheetView showGridLines="0" zoomScale="110" zoomScaleNormal="110" zoomScalePageLayoutView="120" workbookViewId="0">
      <pane ySplit="3" topLeftCell="A25" activePane="bottomLeft" state="frozen"/>
      <selection pane="bottomLeft" activeCell="U24" sqref="U24"/>
    </sheetView>
  </sheetViews>
  <sheetFormatPr baseColWidth="10" defaultColWidth="8.5" defaultRowHeight="15" x14ac:dyDescent="0.2"/>
  <cols>
    <col min="1" max="1" width="1.83203125" style="239" customWidth="1"/>
    <col min="2" max="2" width="41.5" style="239" customWidth="1"/>
    <col min="3" max="3" width="5" style="239" customWidth="1"/>
    <col min="4" max="4" width="15.33203125" style="239" customWidth="1"/>
    <col min="5" max="5" width="18.5" style="239" customWidth="1"/>
    <col min="6" max="6" width="16.6640625" style="239" customWidth="1"/>
    <col min="7" max="7" width="14.5" style="239" customWidth="1"/>
    <col min="8" max="8" width="11.83203125" style="239" customWidth="1"/>
    <col min="9" max="9" width="14.1640625" style="239" customWidth="1"/>
    <col min="10" max="10" width="9" style="239" bestFit="1" customWidth="1"/>
    <col min="11" max="11" width="10.6640625" style="239" bestFit="1" customWidth="1"/>
    <col min="12" max="19" width="8.5" style="239"/>
    <col min="20" max="20" width="16" style="239" customWidth="1"/>
    <col min="21" max="21" width="13.5" style="239" customWidth="1"/>
    <col min="22" max="22" width="15.5" style="239" customWidth="1"/>
    <col min="23" max="23" width="14.5" style="239" customWidth="1"/>
    <col min="24" max="24" width="11.1640625" style="239" bestFit="1" customWidth="1"/>
    <col min="25" max="25" width="14" style="239" customWidth="1"/>
    <col min="26" max="26" width="12.5" style="239" bestFit="1" customWidth="1"/>
    <col min="27" max="16384" width="8.5" style="239"/>
  </cols>
  <sheetData>
    <row r="1" spans="2:9" ht="16" x14ac:dyDescent="0.2">
      <c r="B1" s="57" t="s">
        <v>37</v>
      </c>
      <c r="C1" s="234"/>
    </row>
    <row r="2" spans="2:9" ht="16" x14ac:dyDescent="0.2">
      <c r="B2" s="240" t="s">
        <v>5</v>
      </c>
      <c r="C2" s="240"/>
      <c r="D2" s="241"/>
      <c r="E2" s="241"/>
      <c r="F2" s="241"/>
      <c r="G2" s="241"/>
      <c r="H2" s="241"/>
      <c r="I2" s="241"/>
    </row>
    <row r="3" spans="2:9" x14ac:dyDescent="0.2">
      <c r="B3" s="242" t="s">
        <v>39</v>
      </c>
      <c r="C3" s="242" t="s">
        <v>188</v>
      </c>
      <c r="D3" s="243">
        <v>0</v>
      </c>
      <c r="E3" s="243">
        <v>1</v>
      </c>
      <c r="F3" s="243">
        <v>2</v>
      </c>
      <c r="G3" s="243">
        <v>3</v>
      </c>
      <c r="H3" s="243">
        <v>4</v>
      </c>
      <c r="I3" s="243">
        <v>5</v>
      </c>
    </row>
    <row r="4" spans="2:9" x14ac:dyDescent="0.2">
      <c r="B4" s="244"/>
      <c r="C4" s="244"/>
      <c r="D4" s="245"/>
      <c r="E4" s="245"/>
      <c r="F4" s="245"/>
      <c r="G4" s="245"/>
      <c r="H4" s="245"/>
      <c r="I4" s="245"/>
    </row>
    <row r="5" spans="2:9" x14ac:dyDescent="0.2">
      <c r="B5" s="246" t="s">
        <v>202</v>
      </c>
      <c r="C5" s="247"/>
      <c r="D5" s="248"/>
      <c r="E5" s="248"/>
      <c r="F5" s="248"/>
      <c r="G5" s="248"/>
      <c r="H5" s="248"/>
      <c r="I5" s="248"/>
    </row>
    <row r="6" spans="2:9" x14ac:dyDescent="0.2">
      <c r="B6" s="249" t="s">
        <v>203</v>
      </c>
      <c r="C6" s="249"/>
      <c r="D6" s="2">
        <v>0</v>
      </c>
      <c r="E6" s="2">
        <f>MIN(0.05*'FE Income Statement'!E5,300000)</f>
        <v>33684.705178571428</v>
      </c>
      <c r="F6" s="2">
        <f>MIN(0.05*'FE Income Statement'!F5,300000)</f>
        <v>66275.750220588248</v>
      </c>
      <c r="G6" s="2">
        <f>MIN(0.05*'FE Income Statement'!G5,300000)</f>
        <v>164638.83952616394</v>
      </c>
      <c r="H6" s="2">
        <f>MIN(0.05*'FE Income Statement'!H5,300000)</f>
        <v>275008.74052677042</v>
      </c>
      <c r="I6" s="2">
        <f>MIN(0.05*'FE Income Statement'!I5,300000)</f>
        <v>300000</v>
      </c>
    </row>
    <row r="7" spans="2:9" x14ac:dyDescent="0.2">
      <c r="B7" s="249" t="s">
        <v>204</v>
      </c>
      <c r="C7" s="249"/>
      <c r="D7" s="2"/>
      <c r="E7" s="2">
        <f>'FE Income Statement'!E5*('FE Assumptions'!D88/365)</f>
        <v>19775.756464914735</v>
      </c>
      <c r="F7" s="2">
        <f>'FE Income Statement'!F5*('FE Assumptions'!E88/365)</f>
        <v>60881.833401668504</v>
      </c>
      <c r="G7" s="2">
        <f>'FE Income Statement'!G5*('FE Assumptions'!F88/365)</f>
        <v>209130.28183896287</v>
      </c>
      <c r="H7" s="2">
        <f>'FE Income Statement'!H5*('FE Assumptions'!G88/365)</f>
        <v>410210.90672181878</v>
      </c>
      <c r="I7" s="2">
        <f>'FE Income Statement'!I5*('FE Assumptions'!H88/365)</f>
        <v>628811.0843423534</v>
      </c>
    </row>
    <row r="8" spans="2:9" x14ac:dyDescent="0.2">
      <c r="B8" s="249" t="s">
        <v>205</v>
      </c>
      <c r="C8" s="249"/>
      <c r="D8" s="2">
        <f>'FE Assumptions'!C15</f>
        <v>5148.6833138581205</v>
      </c>
      <c r="E8" s="256">
        <f>'OM Micro Data'!C7-D8</f>
        <v>56635.516452439326</v>
      </c>
      <c r="F8" s="256">
        <f>'OM Micro Data'!C25</f>
        <v>109634.03489965237</v>
      </c>
      <c r="G8" s="256">
        <f>'OM Micro Data'!C44</f>
        <v>260599.37958656834</v>
      </c>
      <c r="H8" s="256">
        <f>'OM Micro Data'!C63</f>
        <v>429067.94595654175</v>
      </c>
      <c r="I8" s="256">
        <f>'OM Micro Data'!C82</f>
        <v>584792.43618212477</v>
      </c>
    </row>
    <row r="9" spans="2:9" x14ac:dyDescent="0.2">
      <c r="B9" s="249" t="s">
        <v>206</v>
      </c>
      <c r="C9" s="249"/>
      <c r="D9" s="251"/>
      <c r="E9" s="256">
        <f>'OM Micro Data'!C6</f>
        <v>37134.237259028218</v>
      </c>
      <c r="F9" s="256">
        <f>'OM Micro Data'!C24</f>
        <v>64205.27408031396</v>
      </c>
      <c r="G9" s="256">
        <f>'OM Micro Data'!C43</f>
        <v>137844.54328343982</v>
      </c>
      <c r="H9" s="256">
        <f>'OM Micro Data'!C62</f>
        <v>224408.85144445224</v>
      </c>
      <c r="I9" s="256">
        <f>'OM Micro Data'!C81</f>
        <v>306450.55088460015</v>
      </c>
    </row>
    <row r="10" spans="2:9" x14ac:dyDescent="0.2">
      <c r="B10" s="253" t="s">
        <v>202</v>
      </c>
      <c r="C10" s="253"/>
      <c r="D10" s="254">
        <f t="shared" ref="D10:I10" si="0">SUM(D6:D9)</f>
        <v>5148.6833138581205</v>
      </c>
      <c r="E10" s="254">
        <f t="shared" si="0"/>
        <v>147230.21535495372</v>
      </c>
      <c r="F10" s="254">
        <f t="shared" si="0"/>
        <v>300996.89260222309</v>
      </c>
      <c r="G10" s="254">
        <f t="shared" si="0"/>
        <v>772213.04423513496</v>
      </c>
      <c r="H10" s="254">
        <f t="shared" si="0"/>
        <v>1338696.4446495832</v>
      </c>
      <c r="I10" s="254">
        <f t="shared" si="0"/>
        <v>1820054.0714090783</v>
      </c>
    </row>
    <row r="11" spans="2:9" x14ac:dyDescent="0.2">
      <c r="D11" s="2"/>
      <c r="E11" s="2"/>
      <c r="F11" s="2"/>
      <c r="G11" s="2"/>
      <c r="H11" s="2"/>
      <c r="I11" s="2"/>
    </row>
    <row r="12" spans="2:9" x14ac:dyDescent="0.2">
      <c r="B12" s="255" t="s">
        <v>207</v>
      </c>
      <c r="D12" s="2"/>
      <c r="E12" s="2"/>
      <c r="F12" s="2"/>
      <c r="G12" s="2"/>
      <c r="H12" s="2"/>
      <c r="I12" s="2"/>
    </row>
    <row r="13" spans="2:9" x14ac:dyDescent="0.2">
      <c r="B13" s="239" t="s">
        <v>208</v>
      </c>
      <c r="C13" s="239">
        <v>0</v>
      </c>
      <c r="D13" s="2">
        <f>C13-'FE Cash Flow'!D10</f>
        <v>165163.83721200007</v>
      </c>
      <c r="E13" s="2">
        <f>D13-'FE Cash Flow'!E10</f>
        <v>286472.4342424713</v>
      </c>
      <c r="F13" s="2">
        <f>E13-'FE Cash Flow'!F10</f>
        <v>328146.35770659317</v>
      </c>
      <c r="G13" s="2">
        <f>F13-'FE Cash Flow'!G10</f>
        <v>204217.76985741855</v>
      </c>
      <c r="H13" s="2">
        <f>G13-'FE Cash Flow'!H10</f>
        <v>0</v>
      </c>
      <c r="I13" s="2">
        <f>H13-'FE Cash Flow'!J10</f>
        <v>0</v>
      </c>
    </row>
    <row r="14" spans="2:9" x14ac:dyDescent="0.2">
      <c r="D14" s="2"/>
      <c r="E14" s="2"/>
      <c r="F14" s="2"/>
      <c r="G14" s="2"/>
      <c r="H14" s="2"/>
      <c r="I14" s="2"/>
    </row>
    <row r="15" spans="2:9" ht="14.25" customHeight="1" x14ac:dyDescent="0.2">
      <c r="B15" s="255" t="s">
        <v>209</v>
      </c>
      <c r="C15"/>
      <c r="D15" s="2"/>
      <c r="E15" s="2"/>
      <c r="F15" s="2"/>
      <c r="G15" s="2"/>
      <c r="H15" s="2"/>
      <c r="I15" s="2"/>
    </row>
    <row r="16" spans="2:9" x14ac:dyDescent="0.2">
      <c r="B16" s="79" t="s">
        <v>210</v>
      </c>
      <c r="C16" s="79"/>
      <c r="D16" s="256">
        <f>'FE Assumptions'!C10+'FE Assumptions'!C78</f>
        <v>27711.4</v>
      </c>
      <c r="E16" s="2">
        <f>D16+'FE Assumptions'!D110+'FE Assumptions'!C78</f>
        <v>35910.26</v>
      </c>
      <c r="F16" s="2">
        <f>E16+'FE Assumptions'!E110+'FE Assumptions'!D78</f>
        <v>36300.25</v>
      </c>
      <c r="G16" s="2">
        <f>F16+'FE Assumptions'!F110+'FE Assumptions'!E78</f>
        <v>37401.17</v>
      </c>
      <c r="H16" s="2">
        <f>G16+'FE Assumptions'!G110+'FE Assumptions'!F78</f>
        <v>43325.649999999994</v>
      </c>
      <c r="I16" s="2">
        <f>H16+'FE Assumptions'!H110+'FE Assumptions'!G78</f>
        <v>43455.649999999994</v>
      </c>
    </row>
    <row r="17" spans="2:26" x14ac:dyDescent="0.2">
      <c r="B17" s="79" t="s">
        <v>211</v>
      </c>
      <c r="C17" s="79"/>
      <c r="D17" s="257"/>
      <c r="E17" s="475">
        <f>-('FE Income Statement'!E19+'FE Income Statement'!E20+'FE Income Statement'!E21)+D17</f>
        <v>7338.4390000000003</v>
      </c>
      <c r="F17" s="475">
        <f>-('FE Income Statement'!F19+'FE Income Statement'!F20+'FE Income Statement'!F21)+E17</f>
        <v>13468.896000000001</v>
      </c>
      <c r="G17" s="475">
        <f>-('FE Income Statement'!G19+'FE Income Statement'!G20+'FE Income Statement'!G21)+F17</f>
        <v>20383.122000000003</v>
      </c>
      <c r="H17" s="475">
        <f>-('FE Income Statement'!H19+'FE Income Statement'!H20+'FE Income Statement'!H21)+G17</f>
        <v>28864.644000000004</v>
      </c>
      <c r="I17" s="475">
        <f>-('FE Income Statement'!I19+'FE Income Statement'!I20+'FE Income Statement'!I21)+H17</f>
        <v>36766.176000000007</v>
      </c>
      <c r="J17" s="265" t="b">
        <f>-I17=SUM('FE Income Statement'!E19:I21)</f>
        <v>1</v>
      </c>
      <c r="K17" s="295"/>
    </row>
    <row r="18" spans="2:26" x14ac:dyDescent="0.2">
      <c r="B18" s="258" t="s">
        <v>212</v>
      </c>
      <c r="C18" s="258"/>
      <c r="D18" s="259">
        <f t="shared" ref="D18:I18" si="1">D16-D17</f>
        <v>27711.4</v>
      </c>
      <c r="E18" s="259">
        <f t="shared" si="1"/>
        <v>28571.821000000004</v>
      </c>
      <c r="F18" s="259">
        <f t="shared" si="1"/>
        <v>22831.353999999999</v>
      </c>
      <c r="G18" s="259">
        <f t="shared" si="1"/>
        <v>17018.047999999995</v>
      </c>
      <c r="H18" s="259">
        <f t="shared" si="1"/>
        <v>14461.00599999999</v>
      </c>
      <c r="I18" s="259">
        <f t="shared" si="1"/>
        <v>6689.4739999999874</v>
      </c>
      <c r="K18" s="1348"/>
    </row>
    <row r="19" spans="2:26" x14ac:dyDescent="0.2">
      <c r="D19" s="260"/>
      <c r="E19" s="260"/>
      <c r="F19" s="260"/>
      <c r="G19" s="260"/>
      <c r="H19" s="260"/>
      <c r="I19" s="260"/>
    </row>
    <row r="20" spans="2:26" x14ac:dyDescent="0.2">
      <c r="B20" s="253" t="s">
        <v>213</v>
      </c>
      <c r="C20" s="253"/>
      <c r="D20" s="254">
        <f t="shared" ref="D20:I20" si="2">D10+D13+D18</f>
        <v>198023.92052585818</v>
      </c>
      <c r="E20" s="254">
        <f t="shared" si="2"/>
        <v>462274.47059742501</v>
      </c>
      <c r="F20" s="254">
        <f t="shared" si="2"/>
        <v>651974.60430881637</v>
      </c>
      <c r="G20" s="254">
        <f t="shared" si="2"/>
        <v>993448.86209255341</v>
      </c>
      <c r="H20" s="254">
        <f t="shared" si="2"/>
        <v>1353157.4506495832</v>
      </c>
      <c r="I20" s="254">
        <f t="shared" si="2"/>
        <v>1826743.5454090782</v>
      </c>
    </row>
    <row r="21" spans="2:26" x14ac:dyDescent="0.2">
      <c r="B21" s="247"/>
      <c r="C21" s="247"/>
      <c r="D21" s="2"/>
      <c r="E21" s="2"/>
      <c r="F21" s="2"/>
      <c r="G21" s="2"/>
      <c r="H21" s="2"/>
      <c r="I21" s="2"/>
    </row>
    <row r="22" spans="2:26" x14ac:dyDescent="0.2">
      <c r="B22" s="246" t="s">
        <v>214</v>
      </c>
      <c r="C22" s="247"/>
      <c r="D22" s="2"/>
      <c r="E22" s="2"/>
      <c r="F22" s="2"/>
      <c r="G22" s="2"/>
      <c r="H22" s="2"/>
      <c r="I22" s="2"/>
    </row>
    <row r="23" spans="2:26" x14ac:dyDescent="0.2">
      <c r="B23" s="479" t="s">
        <v>215</v>
      </c>
      <c r="D23" s="256">
        <f>-'FE Income Statement'!D9*('FE Assumptions'!C98/365)</f>
        <v>0</v>
      </c>
      <c r="E23" s="256">
        <f>-'FE Income Statement'!E9*('FE Assumptions'!D98/365)</f>
        <v>3457.4000793799346</v>
      </c>
      <c r="F23" s="256">
        <f>-'FE Income Statement'!F9*('FE Assumptions'!E98/365)</f>
        <v>4964.169621717052</v>
      </c>
      <c r="G23" s="256">
        <f>-'FE Income Statement'!G9*('FE Assumptions'!F98/365)</f>
        <v>8559.2688001820916</v>
      </c>
      <c r="H23" s="256">
        <f>-'FE Income Statement'!H9*('FE Assumptions'!G98/365)</f>
        <v>12558.961741007981</v>
      </c>
      <c r="I23" s="256">
        <f>-'FE Income Statement'!I9*('FE Assumptions'!H98/365)</f>
        <v>16432.762282585471</v>
      </c>
      <c r="J23" s="250"/>
    </row>
    <row r="24" spans="2:26" x14ac:dyDescent="0.2">
      <c r="B24" s="239" t="s">
        <v>216</v>
      </c>
      <c r="E24" s="256">
        <f>E23</f>
        <v>3457.4000793799346</v>
      </c>
      <c r="F24" s="256">
        <f>F23</f>
        <v>4964.169621717052</v>
      </c>
      <c r="G24" s="256">
        <f>G23</f>
        <v>8559.2688001820916</v>
      </c>
      <c r="H24" s="256">
        <f>H23</f>
        <v>12558.961741007981</v>
      </c>
      <c r="I24" s="256">
        <f>I23</f>
        <v>16432.762282585471</v>
      </c>
    </row>
    <row r="25" spans="2:26" x14ac:dyDescent="0.2">
      <c r="D25" s="2"/>
      <c r="E25" s="2"/>
      <c r="F25" s="2"/>
      <c r="G25" s="2"/>
      <c r="H25" s="2"/>
      <c r="I25" s="2"/>
      <c r="V25" s="261"/>
      <c r="X25" s="261"/>
      <c r="Y25" s="261"/>
      <c r="Z25" s="261"/>
    </row>
    <row r="26" spans="2:26" x14ac:dyDescent="0.2">
      <c r="B26" s="246" t="s">
        <v>217</v>
      </c>
      <c r="C26" s="247"/>
      <c r="D26" s="2"/>
      <c r="E26" s="256"/>
      <c r="F26" s="2"/>
      <c r="G26" s="2"/>
      <c r="H26" s="2"/>
      <c r="I26" s="2"/>
      <c r="V26" s="262"/>
      <c r="W26" s="262"/>
      <c r="X26" s="262"/>
      <c r="Y26" s="262"/>
      <c r="Z26" s="262"/>
    </row>
    <row r="27" spans="2:26" x14ac:dyDescent="0.2">
      <c r="B27" s="239" t="s">
        <v>218</v>
      </c>
      <c r="C27" s="263">
        <v>0</v>
      </c>
      <c r="D27" s="2">
        <f>IF('FE Cash Flow'!D13&lt;0,-'FE Cash Flow'!D13+C27,'FE Balance Sheet'!C27)</f>
        <v>644577.99891385832</v>
      </c>
      <c r="E27" s="2">
        <f>IF('FE Cash Flow'!E13&lt;0,-'FE Cash Flow'!E13+D27,'FE Balance Sheet'!D27)</f>
        <v>1233353.6519884304</v>
      </c>
      <c r="F27" s="2">
        <f>IF('FE Cash Flow'!F13&lt;0,-'FE Cash Flow'!F13+E27,'FE Balance Sheet'!E27)</f>
        <v>1534220.9573752955</v>
      </c>
      <c r="G27" s="2">
        <f>IF('FE Cash Flow'!G13&lt;0,-'FE Cash Flow'!G13+F27,'FE Balance Sheet'!F27)</f>
        <v>1537033.9340179844</v>
      </c>
      <c r="H27" s="2">
        <f>IF('FE Cash Flow'!H13&lt;0,-'FE Cash Flow'!H13+G27,'FE Balance Sheet'!G27)</f>
        <v>1537033.9340179844</v>
      </c>
      <c r="I27" s="2">
        <f>IF('FE Cash Flow'!I13&lt;0,-'FE Cash Flow'!I13+H27,'FE Balance Sheet'!H27)</f>
        <v>1537033.9340179844</v>
      </c>
      <c r="J27" s="2"/>
    </row>
    <row r="28" spans="2:26" x14ac:dyDescent="0.2">
      <c r="B28" s="239" t="s">
        <v>219</v>
      </c>
      <c r="D28" s="251">
        <f>'FE Income Statement'!D41</f>
        <v>-446554.07838800014</v>
      </c>
      <c r="E28" s="251">
        <f>'FE Income Statement'!E41</f>
        <v>-774536.58147038531</v>
      </c>
      <c r="F28" s="251">
        <f>'FE Income Statement'!F41</f>
        <v>-887210.52268819639</v>
      </c>
      <c r="G28" s="251">
        <f>'FE Income Statement'!G41</f>
        <v>-552144.34072561318</v>
      </c>
      <c r="H28" s="251">
        <f>'FE Income Statement'!H41</f>
        <v>-196435.44510940928</v>
      </c>
      <c r="I28" s="251">
        <f>'FE Income Statement'!I41</f>
        <v>273276.84910850832</v>
      </c>
    </row>
    <row r="29" spans="2:26" x14ac:dyDescent="0.2">
      <c r="B29" s="264" t="s">
        <v>220</v>
      </c>
      <c r="C29" s="264"/>
      <c r="D29" s="259">
        <f t="shared" ref="D29:I29" si="3">SUM(D27:D28)</f>
        <v>198023.92052585818</v>
      </c>
      <c r="E29" s="259">
        <f t="shared" si="3"/>
        <v>458817.0705180451</v>
      </c>
      <c r="F29" s="259">
        <f t="shared" si="3"/>
        <v>647010.43468709907</v>
      </c>
      <c r="G29" s="259">
        <f t="shared" si="3"/>
        <v>984889.59329237125</v>
      </c>
      <c r="H29" s="259">
        <f t="shared" si="3"/>
        <v>1340598.4889085751</v>
      </c>
      <c r="I29" s="259">
        <f t="shared" si="3"/>
        <v>1810310.7831264928</v>
      </c>
    </row>
    <row r="30" spans="2:26" x14ac:dyDescent="0.2">
      <c r="D30" s="260"/>
      <c r="E30" s="260"/>
      <c r="F30" s="260"/>
      <c r="G30" s="260"/>
      <c r="H30" s="260"/>
      <c r="I30" s="260"/>
      <c r="X30" s="261"/>
      <c r="Y30" s="261"/>
      <c r="Z30" s="261"/>
    </row>
    <row r="31" spans="2:26" x14ac:dyDescent="0.2">
      <c r="B31" s="253" t="s">
        <v>221</v>
      </c>
      <c r="C31" s="253"/>
      <c r="D31" s="254">
        <f t="shared" ref="D31:I31" si="4">D24+D29</f>
        <v>198023.92052585818</v>
      </c>
      <c r="E31" s="254">
        <f t="shared" si="4"/>
        <v>462274.47059742501</v>
      </c>
      <c r="F31" s="254">
        <f t="shared" si="4"/>
        <v>651974.60430881614</v>
      </c>
      <c r="G31" s="254">
        <f t="shared" si="4"/>
        <v>993448.86209255329</v>
      </c>
      <c r="H31" s="254">
        <f t="shared" si="4"/>
        <v>1353157.4506495832</v>
      </c>
      <c r="I31" s="254">
        <f t="shared" si="4"/>
        <v>1826743.5454090782</v>
      </c>
      <c r="V31" s="262"/>
      <c r="W31" s="262"/>
      <c r="X31" s="262"/>
      <c r="Y31" s="262"/>
      <c r="Z31" s="262"/>
    </row>
    <row r="32" spans="2:26" x14ac:dyDescent="0.2">
      <c r="D32" s="2"/>
      <c r="E32" s="2"/>
      <c r="F32" s="2"/>
      <c r="G32" s="2"/>
      <c r="H32" s="2"/>
      <c r="I32" s="2"/>
      <c r="V32" s="262"/>
      <c r="W32" s="262"/>
      <c r="X32" s="262"/>
      <c r="Y32" s="262"/>
      <c r="Z32" s="262"/>
    </row>
    <row r="33" spans="2:26" x14ac:dyDescent="0.2">
      <c r="D33" s="2"/>
      <c r="E33" s="2"/>
      <c r="F33" s="2"/>
      <c r="G33" s="2"/>
      <c r="H33" s="2"/>
      <c r="I33" s="2"/>
    </row>
    <row r="34" spans="2:26" x14ac:dyDescent="0.2">
      <c r="B34" s="265" t="s">
        <v>222</v>
      </c>
      <c r="C34" s="265"/>
      <c r="D34" s="266">
        <f>D20-D31</f>
        <v>0</v>
      </c>
      <c r="E34" s="266">
        <f>E20-E31</f>
        <v>0</v>
      </c>
      <c r="F34" s="266">
        <f t="shared" ref="F34:I34" si="5">F20-F31</f>
        <v>0</v>
      </c>
      <c r="G34" s="266">
        <f t="shared" si="5"/>
        <v>0</v>
      </c>
      <c r="H34" s="266">
        <f t="shared" si="5"/>
        <v>0</v>
      </c>
      <c r="I34" s="266">
        <f t="shared" si="5"/>
        <v>0</v>
      </c>
    </row>
    <row r="35" spans="2:26" x14ac:dyDescent="0.2">
      <c r="D35" s="256"/>
      <c r="E35" s="256"/>
      <c r="F35" s="256"/>
      <c r="G35" s="256"/>
      <c r="H35" s="256"/>
      <c r="I35" s="256"/>
      <c r="V35" s="262"/>
      <c r="W35" s="262"/>
      <c r="X35" s="262"/>
      <c r="Y35" s="262"/>
      <c r="Z35" s="262"/>
    </row>
    <row r="36" spans="2:26" ht="32" x14ac:dyDescent="0.2">
      <c r="B36" s="267" t="s">
        <v>223</v>
      </c>
      <c r="C36" s="267"/>
      <c r="D36" s="256">
        <f t="shared" ref="D36:I36" si="6">D10-D24</f>
        <v>5148.6833138581205</v>
      </c>
      <c r="E36" s="256">
        <f>E10-E24</f>
        <v>143772.81527557378</v>
      </c>
      <c r="F36" s="256">
        <f t="shared" si="6"/>
        <v>296032.72298050602</v>
      </c>
      <c r="G36" s="256">
        <f t="shared" si="6"/>
        <v>763653.77543495293</v>
      </c>
      <c r="H36" s="256">
        <f t="shared" si="6"/>
        <v>1326137.4829085753</v>
      </c>
      <c r="I36" s="256">
        <f t="shared" si="6"/>
        <v>1803621.3091264928</v>
      </c>
    </row>
    <row r="37" spans="2:26" x14ac:dyDescent="0.2">
      <c r="B37" s="267"/>
      <c r="C37" s="267"/>
      <c r="D37" s="256"/>
      <c r="E37" s="256"/>
      <c r="F37" s="256"/>
      <c r="G37" s="256"/>
      <c r="H37" s="256"/>
      <c r="I37" s="256"/>
      <c r="V37" s="262"/>
    </row>
    <row r="38" spans="2:26" x14ac:dyDescent="0.2">
      <c r="B38" s="383" t="s">
        <v>224</v>
      </c>
      <c r="C38" s="381"/>
      <c r="D38" s="367"/>
      <c r="E38" s="382">
        <f>D27+(F27-E27)+(E27-D27)+(G27-F27)+(H27-G27)+(I27-H27)</f>
        <v>1537033.9340179844</v>
      </c>
      <c r="F38" s="367"/>
      <c r="G38" s="367"/>
      <c r="H38" s="367"/>
      <c r="I38" s="367"/>
    </row>
    <row r="39" spans="2:26" x14ac:dyDescent="0.2">
      <c r="D39" s="256"/>
      <c r="F39" s="256"/>
      <c r="G39" s="256"/>
      <c r="H39" s="256"/>
      <c r="I39" s="256"/>
    </row>
    <row r="40" spans="2:26" x14ac:dyDescent="0.2">
      <c r="D40" s="256"/>
      <c r="E40" s="256"/>
      <c r="F40" s="256"/>
      <c r="G40" s="256"/>
      <c r="H40" s="256"/>
      <c r="I40" s="256"/>
    </row>
    <row r="41" spans="2:26" x14ac:dyDescent="0.2">
      <c r="D41" s="256"/>
    </row>
    <row r="43" spans="2:26" x14ac:dyDescent="0.2">
      <c r="D43" s="256"/>
      <c r="E43" s="256"/>
      <c r="F43" s="256"/>
      <c r="G43" s="256"/>
      <c r="H43" s="256"/>
      <c r="I43" s="256"/>
    </row>
    <row r="51" spans="4:9" x14ac:dyDescent="0.2">
      <c r="D51" s="2">
        <f>IF('FE Cash Flow'!D37&lt;0,-'FE Cash Flow'!D37+C51,'FE Balance Sheet'!C51)</f>
        <v>0</v>
      </c>
      <c r="E51" s="2">
        <f>IF('FE Cash Flow'!E37&lt;0,-'FE Cash Flow'!E37+D51,'FE Balance Sheet'!D51)</f>
        <v>0</v>
      </c>
      <c r="F51" s="2">
        <f>IF('FE Cash Flow'!F37&lt;0,-'FE Cash Flow'!F37+E51,'FE Balance Sheet'!E51)</f>
        <v>0</v>
      </c>
      <c r="G51" s="2">
        <f>IF('FE Cash Flow'!G37&lt;0,-'FE Cash Flow'!G37+F51,'FE Balance Sheet'!F51)</f>
        <v>0</v>
      </c>
      <c r="H51" s="2">
        <f>IF('FE Cash Flow'!H37&lt;0,-'FE Cash Flow'!H37+G51,'FE Balance Sheet'!G51)</f>
        <v>0</v>
      </c>
      <c r="I51" s="2">
        <f>IF('FE Cash Flow'!I37&lt;0,-'FE Cash Flow'!I37+H51,'FE Balance Sheet'!H51)</f>
        <v>0</v>
      </c>
    </row>
    <row r="71" spans="4:4" x14ac:dyDescent="0.2">
      <c r="D71" s="54"/>
    </row>
  </sheetData>
  <hyperlinks>
    <hyperlink ref="B1" location="Index!A1" display="Back to Index" xr:uid="{C7052437-109C-4832-9034-33A64D2A6F7E}"/>
  </hyperlinks>
  <printOptions gridLinesSet="0"/>
  <pageMargins left="0.75" right="0.75" top="1" bottom="1" header="0.5" footer="0.5"/>
  <pageSetup scale="79" orientation="landscape" r:id="rId1"/>
  <headerFooter alignWithMargins="0">
    <oddHeader>&amp;A</oddHeader>
    <oddFooter>Page &amp;P</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EE80E-EB33-4CA6-B04D-FF1ABA48E87E}">
  <sheetPr published="0">
    <tabColor rgb="FF00B050"/>
  </sheetPr>
  <dimension ref="A1:P77"/>
  <sheetViews>
    <sheetView showGridLines="0" topLeftCell="A40" zoomScale="190" zoomScaleNormal="190" workbookViewId="0">
      <selection activeCell="B50" sqref="B50:C50"/>
    </sheetView>
  </sheetViews>
  <sheetFormatPr baseColWidth="10" defaultColWidth="8.5" defaultRowHeight="15" x14ac:dyDescent="0.2"/>
  <cols>
    <col min="1" max="1" width="1.83203125" customWidth="1"/>
    <col min="2" max="2" width="6.1640625" bestFit="1" customWidth="1"/>
    <col min="3" max="3" width="60.5" bestFit="1" customWidth="1"/>
    <col min="4" max="4" width="16.1640625" customWidth="1"/>
    <col min="5" max="5" width="17.5" bestFit="1" customWidth="1"/>
    <col min="6" max="6" width="23.1640625" customWidth="1"/>
    <col min="7" max="7" width="11.5" customWidth="1"/>
    <col min="8" max="8" width="12" customWidth="1"/>
    <col min="9" max="9" width="19.33203125" customWidth="1"/>
    <col min="10" max="10" width="15.1640625" customWidth="1"/>
    <col min="11" max="11" width="27.6640625" customWidth="1"/>
    <col min="12" max="14" width="16.5" customWidth="1"/>
    <col min="15" max="17" width="15.5" customWidth="1"/>
  </cols>
  <sheetData>
    <row r="1" spans="1:16" x14ac:dyDescent="0.2">
      <c r="B1" s="1813" t="s">
        <v>37</v>
      </c>
      <c r="C1" s="1813"/>
    </row>
    <row r="2" spans="1:16" s="189" customFormat="1" ht="16" x14ac:dyDescent="0.2">
      <c r="A2" s="5"/>
      <c r="B2" s="1806" t="s">
        <v>225</v>
      </c>
      <c r="C2" s="1806"/>
      <c r="D2" s="1806"/>
      <c r="E2" s="1806"/>
      <c r="F2" s="1806"/>
      <c r="G2" s="1806"/>
      <c r="H2" s="1806"/>
      <c r="I2" s="1806"/>
    </row>
    <row r="3" spans="1:16" x14ac:dyDescent="0.2">
      <c r="B3" s="3"/>
      <c r="C3" s="3"/>
      <c r="D3" s="3"/>
      <c r="E3" s="3"/>
      <c r="F3" s="3"/>
      <c r="G3" s="3"/>
      <c r="H3" s="3"/>
      <c r="I3" s="3"/>
    </row>
    <row r="4" spans="1:16" ht="16" x14ac:dyDescent="0.2">
      <c r="B4" s="235" t="s">
        <v>226</v>
      </c>
      <c r="C4" s="236" t="s">
        <v>227</v>
      </c>
      <c r="D4" s="237" t="s">
        <v>228</v>
      </c>
      <c r="E4" s="237" t="s">
        <v>229</v>
      </c>
      <c r="F4" s="237" t="s">
        <v>230</v>
      </c>
      <c r="G4" s="237" t="s">
        <v>231</v>
      </c>
      <c r="H4" s="237" t="s">
        <v>232</v>
      </c>
      <c r="I4" s="237" t="s">
        <v>233</v>
      </c>
    </row>
    <row r="5" spans="1:16" x14ac:dyDescent="0.2">
      <c r="B5" s="3" t="s">
        <v>234</v>
      </c>
      <c r="C5" s="3" t="s">
        <v>235</v>
      </c>
      <c r="D5" s="9">
        <v>1.1599999999999999</v>
      </c>
      <c r="E5" s="814">
        <v>3220</v>
      </c>
      <c r="F5" s="814">
        <v>7470</v>
      </c>
      <c r="G5" s="87">
        <f>E5/F5</f>
        <v>0.43105756358768405</v>
      </c>
      <c r="H5" s="33">
        <v>0.3735</v>
      </c>
      <c r="I5" s="136">
        <f>D5/(1+((1-H5)*G5))</f>
        <v>0.91334442883298039</v>
      </c>
      <c r="J5" s="361"/>
      <c r="K5" s="361"/>
      <c r="L5" s="361"/>
      <c r="M5" s="361"/>
      <c r="N5" s="361"/>
      <c r="O5" s="361"/>
      <c r="P5" s="361"/>
    </row>
    <row r="6" spans="1:16" x14ac:dyDescent="0.2">
      <c r="B6" s="3" t="s">
        <v>236</v>
      </c>
      <c r="C6" s="3" t="s">
        <v>237</v>
      </c>
      <c r="D6" s="9">
        <v>1.23</v>
      </c>
      <c r="E6" s="9">
        <v>245.07</v>
      </c>
      <c r="F6" s="9">
        <v>822.2</v>
      </c>
      <c r="G6" s="87">
        <f>E6/F6</f>
        <v>0.29806616395037699</v>
      </c>
      <c r="H6" s="33">
        <v>0.17180000000000001</v>
      </c>
      <c r="I6" s="136">
        <f>D6/(1+((1-H6)*G6))</f>
        <v>0.98647930107822623</v>
      </c>
      <c r="J6" s="361"/>
      <c r="K6" s="361"/>
      <c r="L6" s="361"/>
      <c r="M6" s="361"/>
      <c r="N6" s="361"/>
      <c r="O6" s="361"/>
      <c r="P6" s="361"/>
    </row>
    <row r="7" spans="1:16" x14ac:dyDescent="0.2">
      <c r="B7" s="3"/>
      <c r="C7" s="3"/>
      <c r="D7" s="3"/>
      <c r="E7" s="3"/>
      <c r="F7" s="3"/>
      <c r="G7" s="3"/>
      <c r="H7" s="3"/>
      <c r="I7" s="3"/>
    </row>
    <row r="8" spans="1:16" x14ac:dyDescent="0.2">
      <c r="B8" s="4"/>
      <c r="C8" s="1807" t="s">
        <v>238</v>
      </c>
      <c r="D8" s="1807"/>
      <c r="E8" s="3"/>
      <c r="F8" s="3"/>
      <c r="G8" s="3"/>
      <c r="H8" s="3"/>
      <c r="I8" s="3"/>
    </row>
    <row r="9" spans="1:16" x14ac:dyDescent="0.2">
      <c r="B9" s="1810" t="s">
        <v>239</v>
      </c>
      <c r="C9" s="1810"/>
      <c r="D9" s="3"/>
      <c r="E9" s="3"/>
      <c r="F9" s="3"/>
      <c r="G9" s="3"/>
      <c r="H9" s="3"/>
      <c r="I9" s="3"/>
    </row>
    <row r="10" spans="1:16" x14ac:dyDescent="0.2">
      <c r="B10" s="1809" t="s">
        <v>240</v>
      </c>
      <c r="C10" s="1809"/>
      <c r="D10" s="33">
        <v>1.35E-2</v>
      </c>
      <c r="E10" s="3"/>
      <c r="F10" s="3"/>
      <c r="G10" s="3"/>
      <c r="H10" s="3"/>
      <c r="I10" s="3"/>
      <c r="J10" s="39"/>
    </row>
    <row r="11" spans="1:16" x14ac:dyDescent="0.2">
      <c r="B11" s="1809" t="s">
        <v>228</v>
      </c>
      <c r="C11" s="1809"/>
      <c r="D11" s="11">
        <f>I5</f>
        <v>0.91334442883298039</v>
      </c>
      <c r="E11" s="3"/>
      <c r="F11" s="3"/>
      <c r="G11" s="3"/>
      <c r="H11" s="3"/>
      <c r="I11" s="3"/>
      <c r="J11" s="39"/>
    </row>
    <row r="12" spans="1:16" x14ac:dyDescent="0.2">
      <c r="B12" s="1809" t="s">
        <v>241</v>
      </c>
      <c r="C12" s="1809"/>
      <c r="D12" s="33">
        <v>6.1100000000000002E-2</v>
      </c>
      <c r="E12" s="3"/>
      <c r="F12" s="3"/>
      <c r="G12" s="3"/>
      <c r="H12" s="3"/>
      <c r="I12" s="3"/>
      <c r="J12" s="39"/>
    </row>
    <row r="13" spans="1:16" x14ac:dyDescent="0.2">
      <c r="B13" s="1809" t="s">
        <v>239</v>
      </c>
      <c r="C13" s="1809"/>
      <c r="D13" s="87">
        <f>D10+D11*(D12)</f>
        <v>6.9305344601695101E-2</v>
      </c>
      <c r="E13" s="3"/>
      <c r="F13" s="3"/>
      <c r="G13" s="3"/>
      <c r="H13" s="3"/>
      <c r="I13" s="3"/>
    </row>
    <row r="14" spans="1:16" x14ac:dyDescent="0.2">
      <c r="B14" s="1809" t="s">
        <v>242</v>
      </c>
      <c r="C14" s="1809"/>
      <c r="D14" s="33">
        <v>0.11650000000000001</v>
      </c>
      <c r="E14" s="3"/>
      <c r="F14" s="3"/>
      <c r="G14" s="3"/>
      <c r="H14" s="3"/>
      <c r="I14" s="3"/>
    </row>
    <row r="15" spans="1:16" x14ac:dyDescent="0.2">
      <c r="B15" s="70"/>
      <c r="C15" s="70"/>
      <c r="D15" s="87"/>
      <c r="E15" s="3"/>
      <c r="F15" s="3"/>
      <c r="G15" s="3"/>
      <c r="H15" s="3"/>
      <c r="I15" s="3"/>
    </row>
    <row r="16" spans="1:16" ht="14.5" customHeight="1" x14ac:dyDescent="0.2">
      <c r="B16" s="227" t="s">
        <v>243</v>
      </c>
      <c r="C16" s="227"/>
      <c r="D16" s="238">
        <f>SUM(D13:D14)</f>
        <v>0.18580534460169512</v>
      </c>
      <c r="E16" s="1808"/>
      <c r="F16" s="1808"/>
      <c r="G16" s="238"/>
      <c r="H16" s="1808"/>
      <c r="I16" s="1808"/>
    </row>
    <row r="17" spans="2:16" x14ac:dyDescent="0.2">
      <c r="B17" s="3"/>
      <c r="C17" s="3"/>
      <c r="D17" s="3"/>
      <c r="E17" s="3"/>
      <c r="F17" s="3"/>
      <c r="G17" s="3"/>
      <c r="H17" s="3"/>
      <c r="I17" s="3"/>
    </row>
    <row r="18" spans="2:16" x14ac:dyDescent="0.2">
      <c r="B18" s="3"/>
      <c r="C18" s="3"/>
      <c r="E18" s="3"/>
      <c r="F18" s="3"/>
      <c r="G18" s="3"/>
      <c r="H18" s="3"/>
      <c r="I18" s="3"/>
    </row>
    <row r="19" spans="2:16" x14ac:dyDescent="0.2">
      <c r="B19" s="4" t="s">
        <v>244</v>
      </c>
      <c r="C19" s="4"/>
      <c r="D19" s="4"/>
      <c r="E19" s="4"/>
      <c r="G19" s="3"/>
      <c r="H19" s="3"/>
      <c r="I19" s="3"/>
    </row>
    <row r="20" spans="2:16" x14ac:dyDescent="0.2">
      <c r="G20" s="3"/>
      <c r="H20" s="3"/>
      <c r="I20" s="3"/>
    </row>
    <row r="21" spans="2:16" x14ac:dyDescent="0.2">
      <c r="B21" s="1050"/>
      <c r="C21" s="1050"/>
      <c r="D21" s="1807" t="s">
        <v>227</v>
      </c>
      <c r="E21" s="1807"/>
      <c r="G21" s="3"/>
      <c r="H21" s="3"/>
      <c r="I21" s="3"/>
    </row>
    <row r="22" spans="2:16" x14ac:dyDescent="0.2">
      <c r="B22" s="1811"/>
      <c r="C22" s="1811"/>
      <c r="D22" s="1051" t="s">
        <v>245</v>
      </c>
      <c r="E22" s="1051" t="s">
        <v>246</v>
      </c>
      <c r="G22" s="3"/>
      <c r="H22" s="3"/>
      <c r="I22" s="3"/>
      <c r="J22" s="97"/>
      <c r="M22" s="97"/>
    </row>
    <row r="23" spans="2:16" x14ac:dyDescent="0.2">
      <c r="B23" s="1805" t="s">
        <v>228</v>
      </c>
      <c r="C23" s="1805"/>
      <c r="D23" s="1055">
        <v>1.1599999999999999</v>
      </c>
      <c r="E23" s="1055">
        <v>1.23</v>
      </c>
      <c r="G23" s="3"/>
      <c r="H23" s="3"/>
      <c r="I23" s="3"/>
      <c r="J23" s="97"/>
      <c r="M23" s="97"/>
    </row>
    <row r="24" spans="2:16" x14ac:dyDescent="0.2">
      <c r="B24" s="1805" t="s">
        <v>247</v>
      </c>
      <c r="C24" s="1805"/>
      <c r="D24" s="1056">
        <v>7392000</v>
      </c>
      <c r="E24" s="1056">
        <v>638080</v>
      </c>
      <c r="G24" s="3"/>
      <c r="H24" s="3"/>
      <c r="I24" s="3"/>
      <c r="J24" s="97"/>
      <c r="M24" s="97"/>
      <c r="P24" s="97"/>
    </row>
    <row r="25" spans="2:16" x14ac:dyDescent="0.2">
      <c r="B25" s="1805" t="s">
        <v>248</v>
      </c>
      <c r="C25" s="1805"/>
      <c r="D25" s="1056">
        <v>4583660</v>
      </c>
      <c r="E25" s="1056">
        <v>652537</v>
      </c>
      <c r="M25" s="97"/>
      <c r="P25" s="97"/>
    </row>
    <row r="26" spans="2:16" x14ac:dyDescent="0.2">
      <c r="B26" s="1805" t="s">
        <v>249</v>
      </c>
      <c r="C26" s="1805"/>
      <c r="D26" s="1055">
        <v>2340066</v>
      </c>
      <c r="E26" s="1055">
        <v>403392</v>
      </c>
      <c r="G26" s="3"/>
      <c r="H26" s="3"/>
      <c r="I26" s="3"/>
      <c r="M26" s="97"/>
      <c r="P26" s="97"/>
    </row>
    <row r="27" spans="2:16" x14ac:dyDescent="0.2">
      <c r="B27" s="1805" t="s">
        <v>250</v>
      </c>
      <c r="C27" s="1805"/>
      <c r="D27" s="1057">
        <v>0.48947653185445694</v>
      </c>
      <c r="E27" s="1057">
        <v>0.3818097671089915</v>
      </c>
      <c r="G27" s="3"/>
      <c r="H27" s="3"/>
      <c r="I27" s="3"/>
      <c r="M27" s="97"/>
    </row>
    <row r="28" spans="2:16" x14ac:dyDescent="0.2">
      <c r="B28" s="1805" t="s">
        <v>251</v>
      </c>
      <c r="C28" s="1805"/>
      <c r="D28" s="1057">
        <v>0.40638027253330306</v>
      </c>
      <c r="E28" s="1057">
        <v>0.6181902328910085</v>
      </c>
      <c r="G28" s="3"/>
      <c r="H28" s="3"/>
      <c r="I28" s="3"/>
      <c r="M28" s="97"/>
      <c r="P28" s="97"/>
    </row>
    <row r="29" spans="2:16" x14ac:dyDescent="0.2">
      <c r="B29" s="1805" t="s">
        <v>252</v>
      </c>
      <c r="C29" s="1805"/>
      <c r="D29" s="1057">
        <v>8.3096259321153831E-2</v>
      </c>
      <c r="E29" s="1057">
        <v>3.6079180184418663E-2</v>
      </c>
      <c r="G29" s="3"/>
      <c r="H29" s="3"/>
      <c r="I29" s="3"/>
      <c r="P29" s="97"/>
    </row>
    <row r="30" spans="2:16" x14ac:dyDescent="0.2">
      <c r="B30" s="1805" t="s">
        <v>253</v>
      </c>
      <c r="C30" s="1805"/>
      <c r="D30" s="1057">
        <v>2.7625958295336043E-2</v>
      </c>
      <c r="E30" s="1057">
        <v>1.4961603709827949E-2</v>
      </c>
    </row>
    <row r="31" spans="2:16" x14ac:dyDescent="0.2">
      <c r="B31" s="1805" t="s">
        <v>254</v>
      </c>
      <c r="C31" s="1805"/>
      <c r="D31" s="1057">
        <v>2.293533033066484E-2</v>
      </c>
      <c r="E31" s="1057">
        <v>1.2785657224426721E-2</v>
      </c>
    </row>
    <row r="32" spans="2:16" x14ac:dyDescent="0.2">
      <c r="B32" s="1805" t="s">
        <v>255</v>
      </c>
      <c r="C32" s="1805"/>
      <c r="D32" s="1057">
        <v>0.2123408843568215</v>
      </c>
      <c r="E32" s="1057">
        <v>3.0278031912419172E-2</v>
      </c>
    </row>
    <row r="33" spans="2:13" x14ac:dyDescent="0.2">
      <c r="B33" s="1805" t="s">
        <v>123</v>
      </c>
      <c r="C33" s="1805"/>
      <c r="D33" s="951">
        <v>80.27792592174751</v>
      </c>
      <c r="E33" s="951">
        <v>54.084228244486759</v>
      </c>
    </row>
    <row r="34" spans="2:13" x14ac:dyDescent="0.2">
      <c r="B34" s="1805" t="s">
        <v>256</v>
      </c>
      <c r="C34" s="1805"/>
      <c r="D34" s="951">
        <v>77.265980959511396</v>
      </c>
      <c r="E34" s="951">
        <v>26.420045514040932</v>
      </c>
    </row>
    <row r="35" spans="2:13" x14ac:dyDescent="0.2">
      <c r="B35" s="1805" t="s">
        <v>257</v>
      </c>
      <c r="C35" s="1805"/>
      <c r="D35" s="951">
        <v>82.335424093410069</v>
      </c>
      <c r="E35" s="951">
        <v>73.743718746982935</v>
      </c>
    </row>
    <row r="36" spans="2:13" x14ac:dyDescent="0.2">
      <c r="B36" s="1804"/>
      <c r="C36" s="1804"/>
      <c r="D36" s="208"/>
      <c r="E36" s="208"/>
    </row>
    <row r="37" spans="2:13" x14ac:dyDescent="0.2">
      <c r="B37" s="1804"/>
      <c r="C37" s="1804"/>
      <c r="D37" s="208"/>
      <c r="E37" s="208"/>
    </row>
    <row r="38" spans="2:13" x14ac:dyDescent="0.2">
      <c r="B38" s="4" t="s">
        <v>258</v>
      </c>
      <c r="C38" s="4"/>
      <c r="D38" s="4"/>
      <c r="E38" s="4"/>
      <c r="F38" s="4"/>
      <c r="I38" s="1814" t="s">
        <v>259</v>
      </c>
      <c r="J38" s="1814"/>
      <c r="K38" s="1814"/>
    </row>
    <row r="39" spans="2:13" x14ac:dyDescent="0.2">
      <c r="B39" s="1804"/>
      <c r="C39" s="1804"/>
      <c r="D39" s="52"/>
      <c r="E39" s="52"/>
      <c r="I39" s="1814"/>
      <c r="J39" s="1814"/>
      <c r="K39" s="1814"/>
    </row>
    <row r="40" spans="2:13" x14ac:dyDescent="0.2">
      <c r="B40" s="1050"/>
      <c r="C40" s="1050"/>
      <c r="D40" s="1807" t="s">
        <v>227</v>
      </c>
      <c r="E40" s="1807"/>
      <c r="F40" s="1807"/>
      <c r="G40" s="1807"/>
      <c r="I40" s="1815"/>
      <c r="J40" s="1815"/>
      <c r="K40" s="1815"/>
    </row>
    <row r="41" spans="2:13" x14ac:dyDescent="0.2">
      <c r="B41" s="1811"/>
      <c r="C41" s="1811"/>
      <c r="D41" s="1051" t="s">
        <v>245</v>
      </c>
      <c r="E41" s="1051" t="s">
        <v>246</v>
      </c>
      <c r="F41" s="1051" t="s">
        <v>260</v>
      </c>
      <c r="G41" s="1051" t="s">
        <v>261</v>
      </c>
      <c r="I41" s="146"/>
      <c r="J41" s="1068" t="s">
        <v>262</v>
      </c>
      <c r="K41" s="1068" t="s">
        <v>263</v>
      </c>
    </row>
    <row r="42" spans="2:13" x14ac:dyDescent="0.2">
      <c r="B42" s="1811"/>
      <c r="C42" s="1811"/>
      <c r="D42" s="1811"/>
      <c r="E42" s="1811"/>
      <c r="F42" s="1074" t="s">
        <v>45</v>
      </c>
      <c r="G42" s="1073"/>
      <c r="I42" s="146"/>
      <c r="J42" s="1074" t="s">
        <v>264</v>
      </c>
      <c r="K42" s="1074" t="s">
        <v>264</v>
      </c>
      <c r="M42" s="64"/>
    </row>
    <row r="43" spans="2:13" x14ac:dyDescent="0.2">
      <c r="B43" s="1804" t="s">
        <v>265</v>
      </c>
      <c r="C43" s="1804"/>
      <c r="D43" s="64">
        <v>8.3096259321153831E-2</v>
      </c>
      <c r="E43" s="64">
        <v>3.6079180184418663E-2</v>
      </c>
      <c r="F43" s="64">
        <v>0.24864464040046913</v>
      </c>
      <c r="G43" s="64">
        <v>0.10800000000000001</v>
      </c>
      <c r="H43" s="136"/>
      <c r="I43" t="s">
        <v>266</v>
      </c>
      <c r="J43" s="97">
        <v>4583660</v>
      </c>
      <c r="K43" s="97">
        <v>652537</v>
      </c>
      <c r="L43" s="1075"/>
      <c r="M43" s="64"/>
    </row>
    <row r="44" spans="2:13" x14ac:dyDescent="0.2">
      <c r="B44" s="1804" t="s">
        <v>267</v>
      </c>
      <c r="C44" s="1804"/>
      <c r="D44" s="64">
        <v>0.12670726013709568</v>
      </c>
      <c r="E44" s="64">
        <v>0.10247388270703424</v>
      </c>
      <c r="F44" s="64">
        <v>0.24969309679327403</v>
      </c>
      <c r="G44" s="64">
        <v>0.153</v>
      </c>
      <c r="I44" t="s">
        <v>268</v>
      </c>
      <c r="J44" s="97">
        <v>2340066</v>
      </c>
      <c r="K44" s="97">
        <v>403392</v>
      </c>
      <c r="L44" s="1075"/>
      <c r="M44" s="64"/>
    </row>
    <row r="45" spans="2:13" x14ac:dyDescent="0.2">
      <c r="B45" s="1804" t="s">
        <v>250</v>
      </c>
      <c r="C45" s="1804"/>
      <c r="D45" s="64">
        <v>0.48947653185445694</v>
      </c>
      <c r="E45" s="64">
        <v>0.3818097671089915</v>
      </c>
      <c r="F45" s="64">
        <v>0.53103458734662201</v>
      </c>
      <c r="G45" s="64">
        <v>0.51600000000000001</v>
      </c>
      <c r="I45" t="s">
        <v>269</v>
      </c>
      <c r="J45" s="97">
        <v>580783</v>
      </c>
      <c r="K45" s="97">
        <v>66868</v>
      </c>
      <c r="L45" s="1075"/>
      <c r="M45" s="64"/>
    </row>
    <row r="46" spans="2:13" x14ac:dyDescent="0.2">
      <c r="B46" s="1804" t="s">
        <v>253</v>
      </c>
      <c r="C46" s="1804"/>
      <c r="D46" s="64">
        <v>2.7625958295336043E-2</v>
      </c>
      <c r="E46" s="64">
        <v>1.4961603709827949E-2</v>
      </c>
      <c r="F46" s="64">
        <v>0.18151058749234245</v>
      </c>
      <c r="G46" s="64">
        <v>3.9E-2</v>
      </c>
      <c r="I46" t="s">
        <v>171</v>
      </c>
      <c r="J46" s="97">
        <v>380885</v>
      </c>
      <c r="K46" s="97">
        <v>23543</v>
      </c>
      <c r="L46" s="1075"/>
      <c r="M46" s="64"/>
    </row>
    <row r="47" spans="2:13" x14ac:dyDescent="0.2">
      <c r="B47" s="1812" t="s">
        <v>270</v>
      </c>
      <c r="C47" s="1812"/>
      <c r="D47" s="64">
        <v>0.30697332543930661</v>
      </c>
      <c r="E47" s="64">
        <v>0.2014837035523287</v>
      </c>
      <c r="F47" s="64">
        <v>0.16483026779953919</v>
      </c>
      <c r="G47" s="64">
        <v>0.1020408163265306</v>
      </c>
      <c r="I47" t="s">
        <v>271</v>
      </c>
      <c r="J47" s="97">
        <v>762181</v>
      </c>
      <c r="K47" s="97">
        <v>52255</v>
      </c>
      <c r="L47" s="1075"/>
      <c r="M47" s="64"/>
    </row>
    <row r="48" spans="2:13" x14ac:dyDescent="0.2">
      <c r="B48" s="1812" t="s">
        <v>272</v>
      </c>
      <c r="C48" s="1812"/>
      <c r="D48" s="64">
        <v>0.41643649134677735</v>
      </c>
      <c r="E48" s="64">
        <v>0.50833426514646174</v>
      </c>
      <c r="F48" s="64">
        <v>0.34549033142489577</v>
      </c>
      <c r="G48" s="64">
        <v>0.35204081632653056</v>
      </c>
      <c r="I48" t="s">
        <v>273</v>
      </c>
      <c r="J48" s="97">
        <v>1033966</v>
      </c>
      <c r="K48" s="97">
        <v>131837</v>
      </c>
      <c r="L48" s="1075"/>
      <c r="M48" s="64"/>
    </row>
    <row r="49" spans="2:12" x14ac:dyDescent="0.2">
      <c r="B49" s="1812" t="s">
        <v>274</v>
      </c>
      <c r="C49" s="1812"/>
      <c r="D49" s="64">
        <v>0.20728787823866543</v>
      </c>
      <c r="E49" s="64">
        <v>0.23047144603259676</v>
      </c>
      <c r="F49" s="64">
        <v>0.48967940077556504</v>
      </c>
      <c r="G49" s="64">
        <v>0.23639455782312924</v>
      </c>
      <c r="I49" t="s">
        <v>275</v>
      </c>
      <c r="J49" s="97">
        <v>514673</v>
      </c>
      <c r="K49" s="97">
        <v>59773</v>
      </c>
      <c r="L49" s="1075"/>
    </row>
    <row r="50" spans="2:12" x14ac:dyDescent="0.2">
      <c r="B50" s="1812" t="s">
        <v>276</v>
      </c>
      <c r="C50" s="1812"/>
      <c r="D50" s="64">
        <v>8.5815316507304992E-2</v>
      </c>
      <c r="E50" s="64">
        <v>7.3522440052907978E-2</v>
      </c>
      <c r="F50" s="64">
        <v>3.6619666820839683E-3</v>
      </c>
      <c r="G50" s="64">
        <v>0.30499999999999999</v>
      </c>
      <c r="I50" t="s">
        <v>202</v>
      </c>
      <c r="J50" s="97">
        <v>2482890</v>
      </c>
      <c r="K50" s="97">
        <v>259351</v>
      </c>
      <c r="L50" s="1075"/>
    </row>
    <row r="51" spans="2:12" x14ac:dyDescent="0.2">
      <c r="B51" s="1812" t="s">
        <v>277</v>
      </c>
      <c r="C51" s="1812"/>
      <c r="D51" s="64">
        <v>0.36547932349549461</v>
      </c>
      <c r="E51" s="64">
        <v>0.21052517736632637</v>
      </c>
      <c r="F51" s="64">
        <v>1</v>
      </c>
      <c r="G51" s="64">
        <v>0.48897058823529416</v>
      </c>
      <c r="I51" t="s">
        <v>278</v>
      </c>
      <c r="J51" s="97">
        <v>473794</v>
      </c>
      <c r="K51" s="97">
        <v>56141</v>
      </c>
      <c r="L51" s="1075"/>
    </row>
    <row r="52" spans="2:12" x14ac:dyDescent="0.2">
      <c r="B52" s="1812" t="s">
        <v>123</v>
      </c>
      <c r="C52" s="1812"/>
      <c r="D52" s="136">
        <v>80.27792592174751</v>
      </c>
      <c r="E52" s="136">
        <v>54.084228244486759</v>
      </c>
      <c r="F52" s="136">
        <v>89.524076189927001</v>
      </c>
      <c r="G52">
        <v>105.2</v>
      </c>
      <c r="I52" t="s">
        <v>279</v>
      </c>
      <c r="J52" s="97">
        <v>5521089</v>
      </c>
      <c r="K52" s="97">
        <v>763590</v>
      </c>
      <c r="L52" s="1075"/>
    </row>
    <row r="53" spans="2:12" x14ac:dyDescent="0.2">
      <c r="B53" s="1812" t="s">
        <v>257</v>
      </c>
      <c r="C53" s="1812"/>
      <c r="D53" s="136">
        <v>82.335424093410069</v>
      </c>
      <c r="E53" s="136">
        <v>73.743718746982935</v>
      </c>
      <c r="F53" s="136">
        <v>30.45454545454545</v>
      </c>
      <c r="G53">
        <v>75.099999999999994</v>
      </c>
      <c r="I53" t="s">
        <v>280</v>
      </c>
      <c r="J53" s="97">
        <v>495363</v>
      </c>
      <c r="K53" s="97">
        <v>29199</v>
      </c>
      <c r="L53" s="1075"/>
    </row>
    <row r="54" spans="2:12" x14ac:dyDescent="0.2">
      <c r="B54" s="1812" t="s">
        <v>256</v>
      </c>
      <c r="C54" s="1812"/>
      <c r="D54" s="136">
        <v>77.265980959511396</v>
      </c>
      <c r="E54" s="136">
        <v>26.420045514040932</v>
      </c>
      <c r="F54" s="136">
        <v>1.6970775657802124</v>
      </c>
      <c r="G54">
        <v>99.9</v>
      </c>
      <c r="I54" t="s">
        <v>214</v>
      </c>
      <c r="J54" s="97">
        <v>1355379</v>
      </c>
      <c r="K54" s="97">
        <v>138696</v>
      </c>
      <c r="L54" s="1075"/>
    </row>
    <row r="55" spans="2:12" x14ac:dyDescent="0.2">
      <c r="B55" s="1812" t="s">
        <v>124</v>
      </c>
      <c r="C55" s="1812"/>
      <c r="D55" s="136">
        <v>162.61335001515758</v>
      </c>
      <c r="E55" s="136">
        <v>127.8279469914697</v>
      </c>
      <c r="F55" s="136">
        <v>119.97862164447245</v>
      </c>
      <c r="G55">
        <v>180.3</v>
      </c>
    </row>
    <row r="56" spans="2:12" x14ac:dyDescent="0.2">
      <c r="B56" s="1812" t="s">
        <v>125</v>
      </c>
      <c r="C56" s="1812"/>
      <c r="D56" s="136">
        <v>85.347369055646183</v>
      </c>
      <c r="E56" s="136">
        <v>101.40790147742877</v>
      </c>
      <c r="F56" s="136">
        <v>118.28154407869224</v>
      </c>
      <c r="G56">
        <v>80.400000000000006</v>
      </c>
    </row>
    <row r="57" spans="2:12" x14ac:dyDescent="0.2">
      <c r="B57" s="1804"/>
      <c r="C57" s="1804"/>
    </row>
    <row r="59" spans="2:12" x14ac:dyDescent="0.2">
      <c r="D59" s="52"/>
      <c r="E59" s="52"/>
      <c r="F59" s="52"/>
    </row>
    <row r="60" spans="2:12" x14ac:dyDescent="0.2">
      <c r="D60" s="208"/>
      <c r="E60" s="208"/>
      <c r="F60" s="208"/>
    </row>
    <row r="61" spans="2:12" x14ac:dyDescent="0.2">
      <c r="D61" s="208"/>
      <c r="E61" s="208"/>
      <c r="F61" s="208"/>
    </row>
    <row r="62" spans="2:12" x14ac:dyDescent="0.2">
      <c r="D62" s="208"/>
      <c r="E62" s="208"/>
      <c r="F62" s="208"/>
    </row>
    <row r="63" spans="2:12" x14ac:dyDescent="0.2">
      <c r="D63" s="208"/>
      <c r="E63" s="208"/>
      <c r="F63" s="208"/>
    </row>
    <row r="66" spans="4:8" x14ac:dyDescent="0.2">
      <c r="D66" s="52"/>
      <c r="E66" s="52"/>
      <c r="F66" s="52"/>
      <c r="G66" s="52"/>
      <c r="H66" s="52"/>
    </row>
    <row r="67" spans="4:8" x14ac:dyDescent="0.2">
      <c r="D67" s="208"/>
      <c r="E67" s="208"/>
      <c r="F67" s="208"/>
      <c r="G67" s="208"/>
      <c r="H67" s="208"/>
    </row>
    <row r="68" spans="4:8" x14ac:dyDescent="0.2">
      <c r="D68" s="208"/>
      <c r="E68" s="208"/>
      <c r="F68" s="208"/>
      <c r="G68" s="208"/>
      <c r="H68" s="208"/>
    </row>
    <row r="69" spans="4:8" x14ac:dyDescent="0.2">
      <c r="D69" s="208"/>
      <c r="E69" s="208"/>
      <c r="F69" s="208"/>
      <c r="G69" s="208"/>
      <c r="H69" s="208"/>
    </row>
    <row r="70" spans="4:8" x14ac:dyDescent="0.2">
      <c r="D70" s="208"/>
      <c r="E70" s="208"/>
      <c r="F70" s="208"/>
      <c r="G70" s="208"/>
      <c r="H70" s="208"/>
    </row>
    <row r="73" spans="4:8" x14ac:dyDescent="0.2">
      <c r="D73" s="52"/>
      <c r="E73" s="52"/>
      <c r="F73" s="52"/>
      <c r="G73" s="52"/>
      <c r="H73" s="52"/>
    </row>
    <row r="74" spans="4:8" x14ac:dyDescent="0.2">
      <c r="D74" s="207"/>
      <c r="E74" s="207"/>
      <c r="F74" s="207"/>
      <c r="G74" s="207"/>
      <c r="H74" s="207"/>
    </row>
    <row r="75" spans="4:8" x14ac:dyDescent="0.2">
      <c r="D75" s="207"/>
      <c r="E75" s="207"/>
      <c r="F75" s="207"/>
      <c r="G75" s="207"/>
      <c r="H75" s="207"/>
    </row>
    <row r="76" spans="4:8" x14ac:dyDescent="0.2">
      <c r="D76" s="207"/>
      <c r="E76" s="207"/>
      <c r="F76" s="207"/>
      <c r="G76" s="207"/>
      <c r="H76" s="207"/>
    </row>
    <row r="77" spans="4:8" x14ac:dyDescent="0.2">
      <c r="D77" s="207"/>
      <c r="E77" s="207"/>
      <c r="F77" s="207"/>
      <c r="G77" s="207"/>
      <c r="H77" s="207"/>
    </row>
  </sheetData>
  <mergeCells count="49">
    <mergeCell ref="B1:C1"/>
    <mergeCell ref="B55:C55"/>
    <mergeCell ref="B56:C56"/>
    <mergeCell ref="B57:C57"/>
    <mergeCell ref="I38:K40"/>
    <mergeCell ref="B53:C53"/>
    <mergeCell ref="B54:C54"/>
    <mergeCell ref="D42:E42"/>
    <mergeCell ref="B47:C47"/>
    <mergeCell ref="B49:C49"/>
    <mergeCell ref="B50:C50"/>
    <mergeCell ref="B51:C51"/>
    <mergeCell ref="B52:C52"/>
    <mergeCell ref="B43:C43"/>
    <mergeCell ref="B41:C41"/>
    <mergeCell ref="B42:C42"/>
    <mergeCell ref="D21:E21"/>
    <mergeCell ref="B22:C22"/>
    <mergeCell ref="D40:G40"/>
    <mergeCell ref="B48:C48"/>
    <mergeCell ref="B46:C46"/>
    <mergeCell ref="B25:C25"/>
    <mergeCell ref="B30:C30"/>
    <mergeCell ref="B23:C23"/>
    <mergeCell ref="B24:C24"/>
    <mergeCell ref="B34:C34"/>
    <mergeCell ref="B35:C35"/>
    <mergeCell ref="B26:C26"/>
    <mergeCell ref="B27:C27"/>
    <mergeCell ref="B28:C28"/>
    <mergeCell ref="B29:C29"/>
    <mergeCell ref="B45:C45"/>
    <mergeCell ref="B2:I2"/>
    <mergeCell ref="C8:D8"/>
    <mergeCell ref="E16:F16"/>
    <mergeCell ref="H16:I16"/>
    <mergeCell ref="B11:C11"/>
    <mergeCell ref="B9:C9"/>
    <mergeCell ref="B10:C10"/>
    <mergeCell ref="B12:C12"/>
    <mergeCell ref="B13:C13"/>
    <mergeCell ref="B14:C14"/>
    <mergeCell ref="B39:C39"/>
    <mergeCell ref="B44:C44"/>
    <mergeCell ref="B31:C31"/>
    <mergeCell ref="B32:C32"/>
    <mergeCell ref="B33:C33"/>
    <mergeCell ref="B36:C36"/>
    <mergeCell ref="B37:C37"/>
  </mergeCells>
  <hyperlinks>
    <hyperlink ref="B1:C1" location="Index!A1" display="Back to Index" xr:uid="{F4ADFBEC-8B69-4DE4-86F9-1638AB94DF17}"/>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3E5CC-6EBF-43C0-9413-9EDFE3A0237D}">
  <sheetPr published="0">
    <tabColor rgb="FF00B050"/>
  </sheetPr>
  <dimension ref="B1:P275"/>
  <sheetViews>
    <sheetView showGridLines="0" zoomScale="70" zoomScaleNormal="70" workbookViewId="0"/>
  </sheetViews>
  <sheetFormatPr baseColWidth="10" defaultColWidth="11.5" defaultRowHeight="15" x14ac:dyDescent="0.2"/>
  <cols>
    <col min="1" max="1" width="1.83203125" customWidth="1"/>
    <col min="2" max="2" width="18.5" customWidth="1"/>
    <col min="3" max="3" width="22.1640625" bestFit="1" customWidth="1"/>
    <col min="4" max="4" width="22.1640625" customWidth="1"/>
    <col min="5" max="5" width="15.5" customWidth="1"/>
    <col min="7" max="7" width="15" bestFit="1" customWidth="1"/>
  </cols>
  <sheetData>
    <row r="1" spans="2:16" x14ac:dyDescent="0.2">
      <c r="B1" s="56" t="s">
        <v>37</v>
      </c>
    </row>
    <row r="3" spans="2:16" x14ac:dyDescent="0.2">
      <c r="B3" s="1817" t="s">
        <v>7</v>
      </c>
      <c r="C3" s="1817"/>
      <c r="D3" s="1817"/>
      <c r="E3" s="1817"/>
      <c r="F3" s="1817"/>
      <c r="G3" s="1817"/>
      <c r="H3" s="1817"/>
      <c r="I3" s="1817"/>
      <c r="J3" s="1817"/>
      <c r="K3" s="1817"/>
      <c r="L3" s="1817"/>
      <c r="M3" s="1817"/>
      <c r="N3" s="1817"/>
      <c r="O3" s="1817"/>
      <c r="P3" s="1817"/>
    </row>
    <row r="4" spans="2:16" x14ac:dyDescent="0.2">
      <c r="C4" s="6"/>
      <c r="D4" s="6"/>
      <c r="E4" s="6"/>
      <c r="F4" s="6"/>
      <c r="G4" s="6"/>
      <c r="H4" s="6"/>
      <c r="I4" s="6"/>
      <c r="J4" s="6"/>
      <c r="K4" s="6"/>
      <c r="L4" s="6"/>
      <c r="M4" s="6"/>
      <c r="N4" s="6"/>
      <c r="O4" s="6"/>
      <c r="P4" s="6"/>
    </row>
    <row r="5" spans="2:16" x14ac:dyDescent="0.2">
      <c r="B5" s="188" t="s">
        <v>281</v>
      </c>
      <c r="C5" s="188" t="s">
        <v>188</v>
      </c>
      <c r="D5" s="188" t="s">
        <v>282</v>
      </c>
      <c r="E5" s="188" t="s">
        <v>283</v>
      </c>
      <c r="F5" s="34"/>
      <c r="G5" s="31" t="s">
        <v>284</v>
      </c>
      <c r="H5" s="34"/>
      <c r="I5" s="34"/>
      <c r="J5" s="34"/>
      <c r="K5" s="34"/>
      <c r="L5" s="34"/>
      <c r="M5" s="34"/>
      <c r="N5" s="34"/>
      <c r="O5" s="34"/>
      <c r="P5" s="34"/>
    </row>
    <row r="6" spans="2:16" x14ac:dyDescent="0.2">
      <c r="C6" s="6"/>
      <c r="D6" s="6"/>
      <c r="E6" s="6"/>
      <c r="F6" s="13"/>
      <c r="G6" s="13"/>
      <c r="H6" s="13"/>
      <c r="I6" s="13"/>
      <c r="J6" s="13"/>
      <c r="K6" s="13"/>
      <c r="L6" s="13"/>
      <c r="M6" s="13"/>
      <c r="N6" s="13"/>
      <c r="O6" s="13"/>
      <c r="P6" s="13"/>
    </row>
    <row r="7" spans="2:16" x14ac:dyDescent="0.2">
      <c r="C7" s="52">
        <v>1</v>
      </c>
      <c r="D7" s="52"/>
      <c r="E7" s="651">
        <f>'FE Cash Flow'!E13</f>
        <v>-588775.65307457198</v>
      </c>
      <c r="F7" s="52" t="s">
        <v>285</v>
      </c>
      <c r="G7" s="58"/>
    </row>
    <row r="8" spans="2:16" x14ac:dyDescent="0.2">
      <c r="C8" s="52">
        <v>2</v>
      </c>
      <c r="D8" s="52"/>
      <c r="E8" s="651">
        <f>'FE Cash Flow'!F13</f>
        <v>-300867.30538686516</v>
      </c>
      <c r="F8" s="52" t="s">
        <v>285</v>
      </c>
    </row>
    <row r="9" spans="2:16" x14ac:dyDescent="0.2">
      <c r="C9" s="52">
        <v>3</v>
      </c>
      <c r="D9" s="52"/>
      <c r="E9" s="651">
        <f>'FE Cash Flow'!G13</f>
        <v>-2812.9766426890437</v>
      </c>
      <c r="F9" s="52" t="s">
        <v>285</v>
      </c>
    </row>
    <row r="10" spans="2:16" x14ac:dyDescent="0.2">
      <c r="C10" s="52">
        <v>4</v>
      </c>
      <c r="D10" s="52"/>
      <c r="E10" s="651">
        <f>'FE Cash Flow'!H13</f>
        <v>548459.50414591352</v>
      </c>
      <c r="F10" s="52" t="s">
        <v>286</v>
      </c>
    </row>
    <row r="11" spans="2:16" x14ac:dyDescent="0.2">
      <c r="C11" s="52">
        <v>5</v>
      </c>
      <c r="D11" s="52"/>
      <c r="E11" s="651">
        <f>'FE Cash Flow'!I13</f>
        <v>898214.61743229162</v>
      </c>
      <c r="F11" s="52" t="s">
        <v>286</v>
      </c>
      <c r="J11" s="206"/>
    </row>
    <row r="12" spans="2:16" x14ac:dyDescent="0.2">
      <c r="B12" s="52">
        <v>1</v>
      </c>
      <c r="C12" s="52">
        <v>6</v>
      </c>
      <c r="D12" s="206">
        <v>0.08</v>
      </c>
      <c r="E12" s="651">
        <f>E11*(1+0.08)</f>
        <v>970071.78682687506</v>
      </c>
      <c r="F12" s="52" t="s">
        <v>287</v>
      </c>
      <c r="G12" s="86">
        <f>E12/(1+'FE Assumptions'!$C$119)^B12</f>
        <v>818070.00722594676</v>
      </c>
      <c r="J12" s="206"/>
    </row>
    <row r="13" spans="2:16" x14ac:dyDescent="0.2">
      <c r="B13" s="52">
        <f t="shared" ref="B13:B19" si="0">B12+1</f>
        <v>2</v>
      </c>
      <c r="C13" s="52">
        <f t="shared" ref="C13:C18" si="1">C12+1</f>
        <v>7</v>
      </c>
      <c r="D13" s="206">
        <v>0.1</v>
      </c>
      <c r="E13" s="651">
        <f>E12*(1-0.1)</f>
        <v>873064.6081441876</v>
      </c>
      <c r="F13" s="52" t="s">
        <v>287</v>
      </c>
      <c r="G13" s="86">
        <f>E13/(1+'FE Assumptions'!$C$119)^B13</f>
        <v>620897.02146743005</v>
      </c>
      <c r="J13" s="206"/>
    </row>
    <row r="14" spans="2:16" x14ac:dyDescent="0.2">
      <c r="B14" s="52">
        <f t="shared" si="0"/>
        <v>3</v>
      </c>
      <c r="C14" s="52">
        <f t="shared" si="1"/>
        <v>8</v>
      </c>
      <c r="D14" s="206">
        <v>0.1</v>
      </c>
      <c r="E14" s="651">
        <f>E13*(1-0.1)</f>
        <v>785758.14732976886</v>
      </c>
      <c r="F14" s="52" t="s">
        <v>288</v>
      </c>
      <c r="G14" s="86">
        <f>E14/(1+'FE Assumptions'!$C$119)^B14</f>
        <v>471247.0911559157</v>
      </c>
      <c r="J14" s="206"/>
    </row>
    <row r="15" spans="2:16" x14ac:dyDescent="0.2">
      <c r="B15" s="52">
        <f t="shared" si="0"/>
        <v>4</v>
      </c>
      <c r="C15" s="52">
        <f t="shared" si="1"/>
        <v>9</v>
      </c>
      <c r="D15" s="206">
        <v>0.1</v>
      </c>
      <c r="E15" s="651">
        <f>E14*(1-0.1)</f>
        <v>707182.33259679202</v>
      </c>
      <c r="F15" s="52" t="s">
        <v>288</v>
      </c>
      <c r="G15" s="86">
        <f>E15/(1+'FE Assumptions'!$C$119)^B15</f>
        <v>357666.10765511793</v>
      </c>
      <c r="J15" s="206"/>
    </row>
    <row r="16" spans="2:16" x14ac:dyDescent="0.2">
      <c r="B16" s="52">
        <f t="shared" si="0"/>
        <v>5</v>
      </c>
      <c r="C16" s="52">
        <f t="shared" si="1"/>
        <v>10</v>
      </c>
      <c r="D16" s="206">
        <v>0.15</v>
      </c>
      <c r="E16" s="651">
        <f>E15*(1-0.15)</f>
        <v>601104.98270727322</v>
      </c>
      <c r="F16" s="52" t="s">
        <v>288</v>
      </c>
      <c r="G16" s="86">
        <f>E16/(1+'FE Assumptions'!$C$119)^B16</f>
        <v>256379.50856847203</v>
      </c>
      <c r="J16" s="206"/>
    </row>
    <row r="17" spans="2:10" x14ac:dyDescent="0.2">
      <c r="B17" s="52">
        <f t="shared" si="0"/>
        <v>6</v>
      </c>
      <c r="C17" s="52">
        <f t="shared" si="1"/>
        <v>11</v>
      </c>
      <c r="D17" s="206">
        <v>0.15</v>
      </c>
      <c r="E17" s="651">
        <f>E16*(1-0.15)</f>
        <v>510939.2353011822</v>
      </c>
      <c r="F17" s="52" t="s">
        <v>288</v>
      </c>
      <c r="G17" s="86">
        <f>E17/(1+'FE Assumptions'!$C$119)^B17</f>
        <v>183776.01625366267</v>
      </c>
      <c r="J17" s="206"/>
    </row>
    <row r="18" spans="2:10" x14ac:dyDescent="0.2">
      <c r="B18" s="52">
        <f t="shared" si="0"/>
        <v>7</v>
      </c>
      <c r="C18" s="52">
        <f t="shared" si="1"/>
        <v>12</v>
      </c>
      <c r="D18" s="206">
        <v>0.2</v>
      </c>
      <c r="E18" s="651">
        <f>E17*(1-0.2)</f>
        <v>408751.38824094576</v>
      </c>
      <c r="F18" s="52" t="s">
        <v>288</v>
      </c>
      <c r="G18" s="86">
        <f>E18/(1+'FE Assumptions'!$C$119)^B18</f>
        <v>123983.93519833016</v>
      </c>
      <c r="J18" s="206"/>
    </row>
    <row r="19" spans="2:10" x14ac:dyDescent="0.2">
      <c r="B19" s="52">
        <f t="shared" si="0"/>
        <v>8</v>
      </c>
      <c r="C19" s="52">
        <v>13</v>
      </c>
      <c r="D19" s="206">
        <v>0.2</v>
      </c>
      <c r="E19" s="651">
        <f>E18*(1-0.2)</f>
        <v>327001.11059275665</v>
      </c>
      <c r="F19" s="52" t="s">
        <v>288</v>
      </c>
      <c r="G19" s="86">
        <f>E19/(1+'FE Assumptions'!$C$119)^B19</f>
        <v>83645.388014320764</v>
      </c>
    </row>
    <row r="20" spans="2:10" ht="16" thickBot="1" x14ac:dyDescent="0.25">
      <c r="C20" s="52"/>
      <c r="D20" s="52"/>
      <c r="E20" s="651"/>
      <c r="F20" s="52"/>
      <c r="G20" s="86"/>
    </row>
    <row r="21" spans="2:10" ht="16" thickBot="1" x14ac:dyDescent="0.25">
      <c r="C21" s="774" t="s">
        <v>289</v>
      </c>
      <c r="D21" s="1070"/>
      <c r="E21" s="775">
        <f>COUNT(C7:C20)</f>
        <v>13</v>
      </c>
    </row>
    <row r="22" spans="2:10" ht="16" thickBot="1" x14ac:dyDescent="0.25">
      <c r="C22" s="762"/>
      <c r="D22" s="762"/>
      <c r="E22" s="762"/>
      <c r="F22" s="762"/>
    </row>
    <row r="23" spans="2:10" ht="17" thickBot="1" x14ac:dyDescent="0.25">
      <c r="C23" s="1392" t="s">
        <v>197</v>
      </c>
      <c r="D23" s="1393"/>
      <c r="E23" s="1394">
        <f>SUM(G12:G20)</f>
        <v>2915665.0755391964</v>
      </c>
      <c r="F23" s="762"/>
    </row>
    <row r="24" spans="2:10" x14ac:dyDescent="0.2">
      <c r="C24" s="762"/>
      <c r="D24" s="762"/>
      <c r="E24" s="762"/>
      <c r="F24" s="762"/>
    </row>
    <row r="25" spans="2:10" x14ac:dyDescent="0.2">
      <c r="C25" s="762"/>
      <c r="D25" s="762"/>
      <c r="E25" s="762"/>
      <c r="F25" s="762"/>
    </row>
    <row r="26" spans="2:10" x14ac:dyDescent="0.2">
      <c r="E26" s="97"/>
    </row>
    <row r="27" spans="2:10" x14ac:dyDescent="0.2">
      <c r="E27" s="64"/>
    </row>
    <row r="28" spans="2:10" x14ac:dyDescent="0.2">
      <c r="E28" s="64"/>
    </row>
    <row r="29" spans="2:10" x14ac:dyDescent="0.2">
      <c r="D29" s="1816"/>
      <c r="E29" s="1816"/>
    </row>
    <row r="30" spans="2:10" x14ac:dyDescent="0.2">
      <c r="D30" s="52"/>
    </row>
    <row r="31" spans="2:10" x14ac:dyDescent="0.2">
      <c r="D31" s="52"/>
    </row>
    <row r="32" spans="2:10" x14ac:dyDescent="0.2">
      <c r="D32" s="52"/>
    </row>
    <row r="33" spans="4:5" x14ac:dyDescent="0.2">
      <c r="D33" s="52"/>
    </row>
    <row r="34" spans="4:5" x14ac:dyDescent="0.2">
      <c r="D34" s="52"/>
    </row>
    <row r="35" spans="4:5" x14ac:dyDescent="0.2">
      <c r="D35" s="52"/>
    </row>
    <row r="36" spans="4:5" x14ac:dyDescent="0.2">
      <c r="D36" s="52"/>
    </row>
    <row r="37" spans="4:5" x14ac:dyDescent="0.2">
      <c r="D37" s="52"/>
    </row>
    <row r="38" spans="4:5" x14ac:dyDescent="0.2">
      <c r="E38" s="97"/>
    </row>
    <row r="39" spans="4:5" x14ac:dyDescent="0.2">
      <c r="E39" s="97"/>
    </row>
    <row r="40" spans="4:5" x14ac:dyDescent="0.2">
      <c r="E40" s="97"/>
    </row>
    <row r="41" spans="4:5" x14ac:dyDescent="0.2">
      <c r="E41" s="97"/>
    </row>
    <row r="42" spans="4:5" x14ac:dyDescent="0.2">
      <c r="E42" s="97"/>
    </row>
    <row r="43" spans="4:5" x14ac:dyDescent="0.2">
      <c r="E43" s="97"/>
    </row>
    <row r="44" spans="4:5" x14ac:dyDescent="0.2">
      <c r="E44" s="97"/>
    </row>
    <row r="45" spans="4:5" x14ac:dyDescent="0.2">
      <c r="E45" s="97"/>
    </row>
    <row r="46" spans="4:5" x14ac:dyDescent="0.2">
      <c r="E46" s="97"/>
    </row>
    <row r="47" spans="4:5" x14ac:dyDescent="0.2">
      <c r="E47" s="97"/>
    </row>
    <row r="48" spans="4:5" x14ac:dyDescent="0.2">
      <c r="E48" s="97"/>
    </row>
    <row r="49" spans="5:5" x14ac:dyDescent="0.2">
      <c r="E49" s="97"/>
    </row>
    <row r="50" spans="5:5" x14ac:dyDescent="0.2">
      <c r="E50" s="97"/>
    </row>
    <row r="51" spans="5:5" x14ac:dyDescent="0.2">
      <c r="E51" s="97"/>
    </row>
    <row r="52" spans="5:5" x14ac:dyDescent="0.2">
      <c r="E52" s="97"/>
    </row>
    <row r="53" spans="5:5" x14ac:dyDescent="0.2">
      <c r="E53" s="97"/>
    </row>
    <row r="54" spans="5:5" x14ac:dyDescent="0.2">
      <c r="E54" s="97"/>
    </row>
    <row r="55" spans="5:5" x14ac:dyDescent="0.2">
      <c r="E55" s="97"/>
    </row>
    <row r="56" spans="5:5" x14ac:dyDescent="0.2">
      <c r="E56" s="97"/>
    </row>
    <row r="57" spans="5:5" x14ac:dyDescent="0.2">
      <c r="E57" s="97"/>
    </row>
    <row r="58" spans="5:5" x14ac:dyDescent="0.2">
      <c r="E58" s="97"/>
    </row>
    <row r="59" spans="5:5" x14ac:dyDescent="0.2">
      <c r="E59" s="97"/>
    </row>
    <row r="60" spans="5:5" x14ac:dyDescent="0.2">
      <c r="E60" s="97"/>
    </row>
    <row r="61" spans="5:5" x14ac:dyDescent="0.2">
      <c r="E61" s="97"/>
    </row>
    <row r="62" spans="5:5" x14ac:dyDescent="0.2">
      <c r="E62" s="97"/>
    </row>
    <row r="63" spans="5:5" x14ac:dyDescent="0.2">
      <c r="E63" s="97"/>
    </row>
    <row r="64" spans="5:5" x14ac:dyDescent="0.2">
      <c r="E64" s="97"/>
    </row>
    <row r="65" spans="5:5" x14ac:dyDescent="0.2">
      <c r="E65" s="97"/>
    </row>
    <row r="66" spans="5:5" x14ac:dyDescent="0.2">
      <c r="E66" s="97"/>
    </row>
    <row r="67" spans="5:5" x14ac:dyDescent="0.2">
      <c r="E67" s="97"/>
    </row>
    <row r="68" spans="5:5" x14ac:dyDescent="0.2">
      <c r="E68" s="97"/>
    </row>
    <row r="69" spans="5:5" x14ac:dyDescent="0.2">
      <c r="E69" s="97"/>
    </row>
    <row r="70" spans="5:5" x14ac:dyDescent="0.2">
      <c r="E70" s="97"/>
    </row>
    <row r="71" spans="5:5" x14ac:dyDescent="0.2">
      <c r="E71" s="97"/>
    </row>
    <row r="72" spans="5:5" x14ac:dyDescent="0.2">
      <c r="E72" s="97"/>
    </row>
    <row r="73" spans="5:5" x14ac:dyDescent="0.2">
      <c r="E73" s="97"/>
    </row>
    <row r="74" spans="5:5" x14ac:dyDescent="0.2">
      <c r="E74" s="97"/>
    </row>
    <row r="75" spans="5:5" x14ac:dyDescent="0.2">
      <c r="E75" s="97"/>
    </row>
    <row r="76" spans="5:5" x14ac:dyDescent="0.2">
      <c r="E76" s="97"/>
    </row>
    <row r="77" spans="5:5" x14ac:dyDescent="0.2">
      <c r="E77" s="97"/>
    </row>
    <row r="78" spans="5:5" x14ac:dyDescent="0.2">
      <c r="E78" s="97"/>
    </row>
    <row r="79" spans="5:5" x14ac:dyDescent="0.2">
      <c r="E79" s="97"/>
    </row>
    <row r="80" spans="5:5" x14ac:dyDescent="0.2">
      <c r="E80" s="97"/>
    </row>
    <row r="81" spans="5:5" x14ac:dyDescent="0.2">
      <c r="E81" s="97"/>
    </row>
    <row r="82" spans="5:5" x14ac:dyDescent="0.2">
      <c r="E82" s="97"/>
    </row>
    <row r="83" spans="5:5" x14ac:dyDescent="0.2">
      <c r="E83" s="97"/>
    </row>
    <row r="84" spans="5:5" x14ac:dyDescent="0.2">
      <c r="E84" s="97"/>
    </row>
    <row r="85" spans="5:5" x14ac:dyDescent="0.2">
      <c r="E85" s="97"/>
    </row>
    <row r="86" spans="5:5" x14ac:dyDescent="0.2">
      <c r="E86" s="97"/>
    </row>
    <row r="87" spans="5:5" x14ac:dyDescent="0.2">
      <c r="E87" s="97"/>
    </row>
    <row r="88" spans="5:5" x14ac:dyDescent="0.2">
      <c r="E88" s="97"/>
    </row>
    <row r="89" spans="5:5" x14ac:dyDescent="0.2">
      <c r="E89" s="97"/>
    </row>
    <row r="90" spans="5:5" x14ac:dyDescent="0.2">
      <c r="E90" s="97"/>
    </row>
    <row r="91" spans="5:5" x14ac:dyDescent="0.2">
      <c r="E91" s="97"/>
    </row>
    <row r="92" spans="5:5" x14ac:dyDescent="0.2">
      <c r="E92" s="97"/>
    </row>
    <row r="93" spans="5:5" x14ac:dyDescent="0.2">
      <c r="E93" s="97"/>
    </row>
    <row r="94" spans="5:5" x14ac:dyDescent="0.2">
      <c r="E94" s="97"/>
    </row>
    <row r="95" spans="5:5" x14ac:dyDescent="0.2">
      <c r="E95" s="97"/>
    </row>
    <row r="96" spans="5:5" x14ac:dyDescent="0.2">
      <c r="E96" s="97"/>
    </row>
    <row r="97" spans="5:5" x14ac:dyDescent="0.2">
      <c r="E97" s="97"/>
    </row>
    <row r="98" spans="5:5" x14ac:dyDescent="0.2">
      <c r="E98" s="97"/>
    </row>
    <row r="99" spans="5:5" x14ac:dyDescent="0.2">
      <c r="E99" s="97"/>
    </row>
    <row r="100" spans="5:5" x14ac:dyDescent="0.2">
      <c r="E100" s="97"/>
    </row>
    <row r="101" spans="5:5" x14ac:dyDescent="0.2">
      <c r="E101" s="97"/>
    </row>
    <row r="102" spans="5:5" x14ac:dyDescent="0.2">
      <c r="E102" s="97"/>
    </row>
    <row r="103" spans="5:5" x14ac:dyDescent="0.2">
      <c r="E103" s="97"/>
    </row>
    <row r="104" spans="5:5" x14ac:dyDescent="0.2">
      <c r="E104" s="97"/>
    </row>
    <row r="105" spans="5:5" x14ac:dyDescent="0.2">
      <c r="E105" s="97"/>
    </row>
    <row r="106" spans="5:5" x14ac:dyDescent="0.2">
      <c r="E106" s="97"/>
    </row>
    <row r="107" spans="5:5" x14ac:dyDescent="0.2">
      <c r="E107" s="97"/>
    </row>
    <row r="108" spans="5:5" x14ac:dyDescent="0.2">
      <c r="E108" s="97"/>
    </row>
    <row r="109" spans="5:5" x14ac:dyDescent="0.2">
      <c r="E109" s="97"/>
    </row>
    <row r="110" spans="5:5" x14ac:dyDescent="0.2">
      <c r="E110" s="97"/>
    </row>
    <row r="111" spans="5:5" x14ac:dyDescent="0.2">
      <c r="E111" s="97"/>
    </row>
    <row r="112" spans="5:5" x14ac:dyDescent="0.2">
      <c r="E112" s="97"/>
    </row>
    <row r="113" spans="5:5" x14ac:dyDescent="0.2">
      <c r="E113" s="97"/>
    </row>
    <row r="114" spans="5:5" x14ac:dyDescent="0.2">
      <c r="E114" s="97"/>
    </row>
    <row r="115" spans="5:5" x14ac:dyDescent="0.2">
      <c r="E115" s="97"/>
    </row>
    <row r="116" spans="5:5" x14ac:dyDescent="0.2">
      <c r="E116" s="97"/>
    </row>
    <row r="117" spans="5:5" x14ac:dyDescent="0.2">
      <c r="E117" s="97"/>
    </row>
    <row r="118" spans="5:5" x14ac:dyDescent="0.2">
      <c r="E118" s="97"/>
    </row>
    <row r="119" spans="5:5" x14ac:dyDescent="0.2">
      <c r="E119" s="97"/>
    </row>
    <row r="120" spans="5:5" x14ac:dyDescent="0.2">
      <c r="E120" s="97"/>
    </row>
    <row r="121" spans="5:5" x14ac:dyDescent="0.2">
      <c r="E121" s="97"/>
    </row>
    <row r="122" spans="5:5" x14ac:dyDescent="0.2">
      <c r="E122" s="97"/>
    </row>
    <row r="123" spans="5:5" x14ac:dyDescent="0.2">
      <c r="E123" s="97"/>
    </row>
    <row r="124" spans="5:5" x14ac:dyDescent="0.2">
      <c r="E124" s="97"/>
    </row>
    <row r="125" spans="5:5" x14ac:dyDescent="0.2">
      <c r="E125" s="97"/>
    </row>
    <row r="126" spans="5:5" x14ac:dyDescent="0.2">
      <c r="E126" s="97"/>
    </row>
    <row r="127" spans="5:5" x14ac:dyDescent="0.2">
      <c r="E127" s="97"/>
    </row>
    <row r="128" spans="5:5" x14ac:dyDescent="0.2">
      <c r="E128" s="97"/>
    </row>
    <row r="129" spans="5:5" x14ac:dyDescent="0.2">
      <c r="E129" s="97"/>
    </row>
    <row r="130" spans="5:5" x14ac:dyDescent="0.2">
      <c r="E130" s="97"/>
    </row>
    <row r="131" spans="5:5" x14ac:dyDescent="0.2">
      <c r="E131" s="97"/>
    </row>
    <row r="132" spans="5:5" x14ac:dyDescent="0.2">
      <c r="E132" s="97"/>
    </row>
    <row r="133" spans="5:5" x14ac:dyDescent="0.2">
      <c r="E133" s="97"/>
    </row>
    <row r="134" spans="5:5" x14ac:dyDescent="0.2">
      <c r="E134" s="97"/>
    </row>
    <row r="135" spans="5:5" x14ac:dyDescent="0.2">
      <c r="E135" s="97"/>
    </row>
    <row r="136" spans="5:5" x14ac:dyDescent="0.2">
      <c r="E136" s="97"/>
    </row>
    <row r="137" spans="5:5" x14ac:dyDescent="0.2">
      <c r="E137" s="97"/>
    </row>
    <row r="138" spans="5:5" x14ac:dyDescent="0.2">
      <c r="E138" s="97"/>
    </row>
    <row r="139" spans="5:5" x14ac:dyDescent="0.2">
      <c r="E139" s="97"/>
    </row>
    <row r="140" spans="5:5" x14ac:dyDescent="0.2">
      <c r="E140" s="97"/>
    </row>
    <row r="141" spans="5:5" x14ac:dyDescent="0.2">
      <c r="E141" s="97"/>
    </row>
    <row r="142" spans="5:5" x14ac:dyDescent="0.2">
      <c r="E142" s="97"/>
    </row>
    <row r="143" spans="5:5" x14ac:dyDescent="0.2">
      <c r="E143" s="97"/>
    </row>
    <row r="144" spans="5:5" x14ac:dyDescent="0.2">
      <c r="E144" s="97"/>
    </row>
    <row r="145" spans="5:5" x14ac:dyDescent="0.2">
      <c r="E145" s="97"/>
    </row>
    <row r="146" spans="5:5" x14ac:dyDescent="0.2">
      <c r="E146" s="97"/>
    </row>
    <row r="147" spans="5:5" x14ac:dyDescent="0.2">
      <c r="E147" s="97"/>
    </row>
    <row r="148" spans="5:5" x14ac:dyDescent="0.2">
      <c r="E148" s="97"/>
    </row>
    <row r="149" spans="5:5" x14ac:dyDescent="0.2">
      <c r="E149" s="97"/>
    </row>
    <row r="150" spans="5:5" x14ac:dyDescent="0.2">
      <c r="E150" s="97"/>
    </row>
    <row r="151" spans="5:5" x14ac:dyDescent="0.2">
      <c r="E151" s="97"/>
    </row>
    <row r="152" spans="5:5" x14ac:dyDescent="0.2">
      <c r="E152" s="97"/>
    </row>
    <row r="153" spans="5:5" x14ac:dyDescent="0.2">
      <c r="E153" s="97"/>
    </row>
    <row r="154" spans="5:5" x14ac:dyDescent="0.2">
      <c r="E154" s="97"/>
    </row>
    <row r="155" spans="5:5" x14ac:dyDescent="0.2">
      <c r="E155" s="97"/>
    </row>
    <row r="156" spans="5:5" x14ac:dyDescent="0.2">
      <c r="E156" s="97"/>
    </row>
    <row r="157" spans="5:5" x14ac:dyDescent="0.2">
      <c r="E157" s="97"/>
    </row>
    <row r="158" spans="5:5" x14ac:dyDescent="0.2">
      <c r="E158" s="97"/>
    </row>
    <row r="159" spans="5:5" x14ac:dyDescent="0.2">
      <c r="E159" s="97"/>
    </row>
    <row r="160" spans="5:5" x14ac:dyDescent="0.2">
      <c r="E160" s="97"/>
    </row>
    <row r="161" spans="5:5" x14ac:dyDescent="0.2">
      <c r="E161" s="97"/>
    </row>
    <row r="162" spans="5:5" x14ac:dyDescent="0.2">
      <c r="E162" s="97"/>
    </row>
    <row r="163" spans="5:5" x14ac:dyDescent="0.2">
      <c r="E163" s="97"/>
    </row>
    <row r="164" spans="5:5" x14ac:dyDescent="0.2">
      <c r="E164" s="97"/>
    </row>
    <row r="165" spans="5:5" x14ac:dyDescent="0.2">
      <c r="E165" s="97"/>
    </row>
    <row r="166" spans="5:5" x14ac:dyDescent="0.2">
      <c r="E166" s="97"/>
    </row>
    <row r="167" spans="5:5" x14ac:dyDescent="0.2">
      <c r="E167" s="97"/>
    </row>
    <row r="168" spans="5:5" x14ac:dyDescent="0.2">
      <c r="E168" s="97"/>
    </row>
    <row r="169" spans="5:5" x14ac:dyDescent="0.2">
      <c r="E169" s="97"/>
    </row>
    <row r="170" spans="5:5" x14ac:dyDescent="0.2">
      <c r="E170" s="97"/>
    </row>
    <row r="171" spans="5:5" x14ac:dyDescent="0.2">
      <c r="E171" s="97"/>
    </row>
    <row r="172" spans="5:5" x14ac:dyDescent="0.2">
      <c r="E172" s="97"/>
    </row>
    <row r="173" spans="5:5" x14ac:dyDescent="0.2">
      <c r="E173" s="97"/>
    </row>
    <row r="174" spans="5:5" x14ac:dyDescent="0.2">
      <c r="E174" s="97"/>
    </row>
    <row r="175" spans="5:5" x14ac:dyDescent="0.2">
      <c r="E175" s="97"/>
    </row>
    <row r="176" spans="5:5" x14ac:dyDescent="0.2">
      <c r="E176" s="97"/>
    </row>
    <row r="177" spans="5:5" x14ac:dyDescent="0.2">
      <c r="E177" s="97"/>
    </row>
    <row r="178" spans="5:5" x14ac:dyDescent="0.2">
      <c r="E178" s="97"/>
    </row>
    <row r="179" spans="5:5" x14ac:dyDescent="0.2">
      <c r="E179" s="97"/>
    </row>
    <row r="180" spans="5:5" x14ac:dyDescent="0.2">
      <c r="E180" s="97"/>
    </row>
    <row r="181" spans="5:5" x14ac:dyDescent="0.2">
      <c r="E181" s="97"/>
    </row>
    <row r="182" spans="5:5" x14ac:dyDescent="0.2">
      <c r="E182" s="97"/>
    </row>
    <row r="183" spans="5:5" x14ac:dyDescent="0.2">
      <c r="E183" s="97"/>
    </row>
    <row r="184" spans="5:5" x14ac:dyDescent="0.2">
      <c r="E184" s="97"/>
    </row>
    <row r="185" spans="5:5" x14ac:dyDescent="0.2">
      <c r="E185" s="97"/>
    </row>
    <row r="186" spans="5:5" x14ac:dyDescent="0.2">
      <c r="E186" s="97"/>
    </row>
    <row r="187" spans="5:5" x14ac:dyDescent="0.2">
      <c r="E187" s="97"/>
    </row>
    <row r="188" spans="5:5" x14ac:dyDescent="0.2">
      <c r="E188" s="97"/>
    </row>
    <row r="189" spans="5:5" x14ac:dyDescent="0.2">
      <c r="E189" s="97"/>
    </row>
    <row r="190" spans="5:5" x14ac:dyDescent="0.2">
      <c r="E190" s="97"/>
    </row>
    <row r="191" spans="5:5" x14ac:dyDescent="0.2">
      <c r="E191" s="97"/>
    </row>
    <row r="192" spans="5:5" x14ac:dyDescent="0.2">
      <c r="E192" s="97"/>
    </row>
    <row r="193" spans="5:5" x14ac:dyDescent="0.2">
      <c r="E193" s="97"/>
    </row>
    <row r="194" spans="5:5" x14ac:dyDescent="0.2">
      <c r="E194" s="97"/>
    </row>
    <row r="195" spans="5:5" x14ac:dyDescent="0.2">
      <c r="E195" s="97"/>
    </row>
    <row r="196" spans="5:5" x14ac:dyDescent="0.2">
      <c r="E196" s="97"/>
    </row>
    <row r="197" spans="5:5" x14ac:dyDescent="0.2">
      <c r="E197" s="97"/>
    </row>
    <row r="198" spans="5:5" x14ac:dyDescent="0.2">
      <c r="E198" s="97"/>
    </row>
    <row r="199" spans="5:5" x14ac:dyDescent="0.2">
      <c r="E199" s="97"/>
    </row>
    <row r="200" spans="5:5" x14ac:dyDescent="0.2">
      <c r="E200" s="97"/>
    </row>
    <row r="201" spans="5:5" x14ac:dyDescent="0.2">
      <c r="E201" s="97"/>
    </row>
    <row r="202" spans="5:5" x14ac:dyDescent="0.2">
      <c r="E202" s="650"/>
    </row>
    <row r="203" spans="5:5" x14ac:dyDescent="0.2">
      <c r="E203" s="650"/>
    </row>
    <row r="204" spans="5:5" x14ac:dyDescent="0.2">
      <c r="E204" s="650"/>
    </row>
    <row r="205" spans="5:5" x14ac:dyDescent="0.2">
      <c r="E205" s="650"/>
    </row>
    <row r="206" spans="5:5" x14ac:dyDescent="0.2">
      <c r="E206" s="650"/>
    </row>
    <row r="207" spans="5:5" x14ac:dyDescent="0.2">
      <c r="E207" s="650"/>
    </row>
    <row r="208" spans="5:5" x14ac:dyDescent="0.2">
      <c r="E208" s="650"/>
    </row>
    <row r="209" spans="5:5" x14ac:dyDescent="0.2">
      <c r="E209" s="650"/>
    </row>
    <row r="210" spans="5:5" x14ac:dyDescent="0.2">
      <c r="E210" s="650"/>
    </row>
    <row r="211" spans="5:5" x14ac:dyDescent="0.2">
      <c r="E211" s="650"/>
    </row>
    <row r="212" spans="5:5" x14ac:dyDescent="0.2">
      <c r="E212" s="650"/>
    </row>
    <row r="213" spans="5:5" x14ac:dyDescent="0.2">
      <c r="E213" s="650"/>
    </row>
    <row r="214" spans="5:5" x14ac:dyDescent="0.2">
      <c r="E214" s="650"/>
    </row>
    <row r="215" spans="5:5" x14ac:dyDescent="0.2">
      <c r="E215" s="650"/>
    </row>
    <row r="216" spans="5:5" x14ac:dyDescent="0.2">
      <c r="E216" s="650"/>
    </row>
    <row r="217" spans="5:5" x14ac:dyDescent="0.2">
      <c r="E217" s="650"/>
    </row>
    <row r="218" spans="5:5" x14ac:dyDescent="0.2">
      <c r="E218" s="650"/>
    </row>
    <row r="219" spans="5:5" x14ac:dyDescent="0.2">
      <c r="E219" s="650"/>
    </row>
    <row r="220" spans="5:5" x14ac:dyDescent="0.2">
      <c r="E220" s="650"/>
    </row>
    <row r="221" spans="5:5" x14ac:dyDescent="0.2">
      <c r="E221" s="650"/>
    </row>
    <row r="222" spans="5:5" x14ac:dyDescent="0.2">
      <c r="E222" s="650"/>
    </row>
    <row r="223" spans="5:5" x14ac:dyDescent="0.2">
      <c r="E223" s="650"/>
    </row>
    <row r="224" spans="5:5" x14ac:dyDescent="0.2">
      <c r="E224" s="650"/>
    </row>
    <row r="225" spans="5:5" x14ac:dyDescent="0.2">
      <c r="E225" s="650"/>
    </row>
    <row r="226" spans="5:5" x14ac:dyDescent="0.2">
      <c r="E226" s="650"/>
    </row>
    <row r="227" spans="5:5" x14ac:dyDescent="0.2">
      <c r="E227" s="650"/>
    </row>
    <row r="228" spans="5:5" x14ac:dyDescent="0.2">
      <c r="E228" s="650"/>
    </row>
    <row r="229" spans="5:5" x14ac:dyDescent="0.2">
      <c r="E229" s="650"/>
    </row>
    <row r="230" spans="5:5" x14ac:dyDescent="0.2">
      <c r="E230" s="650"/>
    </row>
    <row r="231" spans="5:5" x14ac:dyDescent="0.2">
      <c r="E231" s="650"/>
    </row>
    <row r="232" spans="5:5" x14ac:dyDescent="0.2">
      <c r="E232" s="650"/>
    </row>
    <row r="233" spans="5:5" x14ac:dyDescent="0.2">
      <c r="E233" s="650"/>
    </row>
    <row r="234" spans="5:5" x14ac:dyDescent="0.2">
      <c r="E234" s="650"/>
    </row>
    <row r="235" spans="5:5" x14ac:dyDescent="0.2">
      <c r="E235" s="650"/>
    </row>
    <row r="236" spans="5:5" x14ac:dyDescent="0.2">
      <c r="E236" s="650"/>
    </row>
    <row r="237" spans="5:5" x14ac:dyDescent="0.2">
      <c r="E237" s="650"/>
    </row>
    <row r="238" spans="5:5" x14ac:dyDescent="0.2">
      <c r="E238" s="650"/>
    </row>
    <row r="239" spans="5:5" x14ac:dyDescent="0.2">
      <c r="E239" s="650"/>
    </row>
    <row r="240" spans="5:5" x14ac:dyDescent="0.2">
      <c r="E240" s="650"/>
    </row>
    <row r="241" spans="5:5" x14ac:dyDescent="0.2">
      <c r="E241" s="650"/>
    </row>
    <row r="242" spans="5:5" x14ac:dyDescent="0.2">
      <c r="E242" s="650"/>
    </row>
    <row r="243" spans="5:5" x14ac:dyDescent="0.2">
      <c r="E243" s="650"/>
    </row>
    <row r="244" spans="5:5" x14ac:dyDescent="0.2">
      <c r="E244" s="650"/>
    </row>
    <row r="245" spans="5:5" x14ac:dyDescent="0.2">
      <c r="E245" s="650"/>
    </row>
    <row r="246" spans="5:5" x14ac:dyDescent="0.2">
      <c r="E246" s="650"/>
    </row>
    <row r="247" spans="5:5" x14ac:dyDescent="0.2">
      <c r="E247" s="650"/>
    </row>
    <row r="248" spans="5:5" x14ac:dyDescent="0.2">
      <c r="E248" s="650"/>
    </row>
    <row r="249" spans="5:5" x14ac:dyDescent="0.2">
      <c r="E249" s="650"/>
    </row>
    <row r="250" spans="5:5" x14ac:dyDescent="0.2">
      <c r="E250" s="650"/>
    </row>
    <row r="251" spans="5:5" x14ac:dyDescent="0.2">
      <c r="E251" s="650"/>
    </row>
    <row r="252" spans="5:5" x14ac:dyDescent="0.2">
      <c r="E252" s="650"/>
    </row>
    <row r="253" spans="5:5" x14ac:dyDescent="0.2">
      <c r="E253" s="650"/>
    </row>
    <row r="254" spans="5:5" x14ac:dyDescent="0.2">
      <c r="E254" s="650"/>
    </row>
    <row r="255" spans="5:5" x14ac:dyDescent="0.2">
      <c r="E255" s="650"/>
    </row>
    <row r="256" spans="5:5" x14ac:dyDescent="0.2">
      <c r="E256" s="650"/>
    </row>
    <row r="257" spans="5:5" x14ac:dyDescent="0.2">
      <c r="E257" s="650"/>
    </row>
    <row r="258" spans="5:5" x14ac:dyDescent="0.2">
      <c r="E258" s="650"/>
    </row>
    <row r="259" spans="5:5" x14ac:dyDescent="0.2">
      <c r="E259" s="650"/>
    </row>
    <row r="260" spans="5:5" x14ac:dyDescent="0.2">
      <c r="E260" s="650"/>
    </row>
    <row r="261" spans="5:5" x14ac:dyDescent="0.2">
      <c r="E261" s="650"/>
    </row>
    <row r="262" spans="5:5" x14ac:dyDescent="0.2">
      <c r="E262" s="650"/>
    </row>
    <row r="263" spans="5:5" x14ac:dyDescent="0.2">
      <c r="E263" s="650"/>
    </row>
    <row r="264" spans="5:5" x14ac:dyDescent="0.2">
      <c r="E264" s="650"/>
    </row>
    <row r="265" spans="5:5" x14ac:dyDescent="0.2">
      <c r="E265" s="650"/>
    </row>
    <row r="266" spans="5:5" x14ac:dyDescent="0.2">
      <c r="E266" s="650"/>
    </row>
    <row r="267" spans="5:5" x14ac:dyDescent="0.2">
      <c r="E267" s="650"/>
    </row>
    <row r="268" spans="5:5" x14ac:dyDescent="0.2">
      <c r="E268" s="650"/>
    </row>
    <row r="269" spans="5:5" x14ac:dyDescent="0.2">
      <c r="E269" s="650"/>
    </row>
    <row r="270" spans="5:5" x14ac:dyDescent="0.2">
      <c r="E270" s="650"/>
    </row>
    <row r="271" spans="5:5" x14ac:dyDescent="0.2">
      <c r="E271" s="650"/>
    </row>
    <row r="272" spans="5:5" x14ac:dyDescent="0.2">
      <c r="E272" s="650"/>
    </row>
    <row r="273" spans="5:5" x14ac:dyDescent="0.2">
      <c r="E273" s="650"/>
    </row>
    <row r="274" spans="5:5" x14ac:dyDescent="0.2">
      <c r="E274" s="650"/>
    </row>
    <row r="275" spans="5:5" x14ac:dyDescent="0.2">
      <c r="E275" s="650"/>
    </row>
  </sheetData>
  <mergeCells count="2">
    <mergeCell ref="D29:E29"/>
    <mergeCell ref="B3:P3"/>
  </mergeCells>
  <hyperlinks>
    <hyperlink ref="B1" location="Index!A1" display="Back to Index" xr:uid="{6AA20AC7-F199-4D9D-B38B-5E17E08A9AD3}"/>
  </hyperlink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049C0-0F8D-48CA-94BC-DE3F3A5DABEC}">
  <sheetPr published="0">
    <tabColor rgb="FF00B050"/>
  </sheetPr>
  <dimension ref="B1:H182"/>
  <sheetViews>
    <sheetView showGridLines="0" zoomScaleNormal="100" workbookViewId="0"/>
  </sheetViews>
  <sheetFormatPr baseColWidth="10" defaultColWidth="8.6640625" defaultRowHeight="12" x14ac:dyDescent="0.15"/>
  <cols>
    <col min="1" max="1" width="1.83203125" style="1030" customWidth="1"/>
    <col min="2" max="2" width="4.33203125" style="1030" bestFit="1" customWidth="1"/>
    <col min="3" max="3" width="29.83203125" style="1030" customWidth="1"/>
    <col min="4" max="4" width="25.1640625" style="1030" bestFit="1" customWidth="1"/>
    <col min="5" max="5" width="21" style="1030" bestFit="1" customWidth="1"/>
    <col min="6" max="6" width="15.83203125" style="1030" bestFit="1" customWidth="1"/>
    <col min="7" max="7" width="12" style="1030" bestFit="1" customWidth="1"/>
    <col min="8" max="8" width="22.6640625" style="1030" bestFit="1" customWidth="1"/>
    <col min="9" max="16384" width="8.6640625" style="1030"/>
  </cols>
  <sheetData>
    <row r="1" spans="2:6" s="1031" customFormat="1" ht="13" x14ac:dyDescent="0.15">
      <c r="B1" s="1031" t="s">
        <v>290</v>
      </c>
    </row>
    <row r="3" spans="2:6" ht="15" x14ac:dyDescent="0.2">
      <c r="B3" s="1038" t="s">
        <v>188</v>
      </c>
      <c r="C3" s="1038" t="s">
        <v>266</v>
      </c>
      <c r="D3" s="1038" t="s">
        <v>191</v>
      </c>
      <c r="E3" s="987" t="s">
        <v>291</v>
      </c>
      <c r="F3" s="1030" t="s">
        <v>292</v>
      </c>
    </row>
    <row r="4" spans="2:6" ht="15" x14ac:dyDescent="0.2">
      <c r="B4" s="1030">
        <v>1</v>
      </c>
      <c r="C4" s="1040">
        <v>673694.10357142857</v>
      </c>
      <c r="D4" s="1040">
        <v>-449291.10011285637</v>
      </c>
      <c r="E4" s="1039"/>
    </row>
    <row r="5" spans="2:6" ht="15" x14ac:dyDescent="0.2">
      <c r="B5" s="1030">
        <v>2</v>
      </c>
      <c r="C5" s="1040">
        <v>1325465.8147058827</v>
      </c>
      <c r="D5" s="1040">
        <v>-154376.98843335826</v>
      </c>
      <c r="E5" s="1039">
        <f>(C5/C4)-1</f>
        <v>0.96745942658432349</v>
      </c>
      <c r="F5" s="1039">
        <f>((D5/D4)-1)*-1</f>
        <v>0.65639873927041803</v>
      </c>
    </row>
    <row r="6" spans="2:6" ht="15" x14ac:dyDescent="0.2">
      <c r="B6" s="1030">
        <v>3</v>
      </c>
      <c r="C6" s="1040">
        <v>3292684.0205680602</v>
      </c>
      <c r="D6" s="1040">
        <v>458943.32121341419</v>
      </c>
      <c r="E6" s="1039">
        <f t="shared" ref="E6:E8" si="0">(C6/C5)-1</f>
        <v>1.4841712128944629</v>
      </c>
      <c r="F6" s="1039">
        <f>((D6/D5)-1)*-1</f>
        <v>3.972873909970926</v>
      </c>
    </row>
    <row r="7" spans="2:6" ht="15" x14ac:dyDescent="0.2">
      <c r="B7" s="1030">
        <v>4</v>
      </c>
      <c r="C7" s="1040">
        <v>5499997.058777513</v>
      </c>
      <c r="D7" s="1040">
        <v>1238493.2969359448</v>
      </c>
      <c r="E7" s="1039">
        <f t="shared" si="0"/>
        <v>0.67036892225955014</v>
      </c>
      <c r="F7" s="1039">
        <f>(D7/D6)-1</f>
        <v>1.6985757057351978</v>
      </c>
    </row>
    <row r="8" spans="2:6" ht="15" x14ac:dyDescent="0.2">
      <c r="B8" s="1030">
        <v>5</v>
      </c>
      <c r="C8" s="1040">
        <v>7535992.1350599276</v>
      </c>
      <c r="D8" s="1040">
        <v>1873704.2702724095</v>
      </c>
      <c r="E8" s="1039">
        <f t="shared" si="0"/>
        <v>0.3701811209213548</v>
      </c>
      <c r="F8" s="1039">
        <f>(D8/D7)-1</f>
        <v>0.51289011810398044</v>
      </c>
    </row>
    <row r="13" spans="2:6" x14ac:dyDescent="0.15">
      <c r="C13" s="1041"/>
    </row>
    <row r="34" spans="2:8" x14ac:dyDescent="0.15">
      <c r="B34" s="1038" t="s">
        <v>188</v>
      </c>
      <c r="C34" s="1038" t="s">
        <v>268</v>
      </c>
      <c r="D34" s="1038" t="s">
        <v>182</v>
      </c>
      <c r="E34" s="1038" t="s">
        <v>183</v>
      </c>
      <c r="F34" s="1038" t="s">
        <v>184</v>
      </c>
      <c r="G34" s="1038" t="s">
        <v>293</v>
      </c>
      <c r="H34" s="1038" t="s">
        <v>294</v>
      </c>
    </row>
    <row r="35" spans="2:8" x14ac:dyDescent="0.15">
      <c r="B35" s="1038">
        <v>1</v>
      </c>
      <c r="C35" s="1039">
        <v>0.63178584182900088</v>
      </c>
      <c r="D35" s="1039">
        <v>0.36821415817099912</v>
      </c>
      <c r="E35" s="1039">
        <v>-0.66690668321282132</v>
      </c>
      <c r="F35" s="1039">
        <v>-0.48684187874535961</v>
      </c>
      <c r="G35" s="1039">
        <v>0.72758273733062262</v>
      </c>
      <c r="H35" s="1039">
        <v>0.28432841072863141</v>
      </c>
    </row>
    <row r="36" spans="2:8" x14ac:dyDescent="0.15">
      <c r="B36" s="1038">
        <v>2</v>
      </c>
      <c r="C36" s="1039">
        <v>0.54875870857023989</v>
      </c>
      <c r="D36" s="1039">
        <v>0.45124129142976011</v>
      </c>
      <c r="E36" s="1039">
        <v>-0.11646998867912267</v>
      </c>
      <c r="F36" s="1039">
        <v>-8.5023091735759546E-2</v>
      </c>
      <c r="G36" s="1039">
        <v>0.39025981527466413</v>
      </c>
      <c r="H36" s="1039">
        <v>0.16478136497615795</v>
      </c>
    </row>
    <row r="37" spans="2:8" x14ac:dyDescent="0.15">
      <c r="B37" s="1038">
        <v>3</v>
      </c>
      <c r="C37" s="1039">
        <v>0.47498510426167984</v>
      </c>
      <c r="D37" s="1039">
        <v>0.52501489573832016</v>
      </c>
      <c r="E37" s="1039">
        <v>0.13938274014347615</v>
      </c>
      <c r="F37" s="1039">
        <v>0.10174940030473759</v>
      </c>
      <c r="G37" s="1039">
        <v>0.25500347339589019</v>
      </c>
      <c r="H37" s="1039">
        <v>0.1221662019353133</v>
      </c>
    </row>
    <row r="38" spans="2:8" x14ac:dyDescent="0.15">
      <c r="B38" s="1038">
        <v>4</v>
      </c>
      <c r="C38" s="1039">
        <v>0.46355095199163798</v>
      </c>
      <c r="D38" s="1039">
        <v>0.53644904800836202</v>
      </c>
      <c r="E38" s="1039">
        <v>0.2251807198622803</v>
      </c>
      <c r="F38" s="1039">
        <v>0.16438192549946462</v>
      </c>
      <c r="G38" s="1039">
        <v>0.18702000064884208</v>
      </c>
      <c r="H38" s="1039">
        <v>0.1168710751792834</v>
      </c>
    </row>
    <row r="39" spans="2:8" x14ac:dyDescent="0.15">
      <c r="B39" s="1038">
        <v>5</v>
      </c>
      <c r="C39" s="1039">
        <v>0.4689669048881136</v>
      </c>
      <c r="D39" s="1039">
        <v>0.53103309511188646</v>
      </c>
      <c r="E39" s="1039">
        <v>0.24863405331267766</v>
      </c>
      <c r="F39" s="1039">
        <v>0.18150285891825468</v>
      </c>
      <c r="G39" s="1039">
        <v>0.14016648755404207</v>
      </c>
      <c r="H39" s="1039">
        <v>0.13642569031287982</v>
      </c>
    </row>
    <row r="41" spans="2:8" x14ac:dyDescent="0.15">
      <c r="C41" s="1039">
        <f>C35-C39</f>
        <v>0.16281893694088728</v>
      </c>
    </row>
    <row r="92" spans="2:5" x14ac:dyDescent="0.15">
      <c r="B92" s="1038" t="s">
        <v>188</v>
      </c>
      <c r="C92" s="1038" t="s">
        <v>295</v>
      </c>
      <c r="D92" s="1038" t="s">
        <v>296</v>
      </c>
      <c r="E92" s="1030" t="s">
        <v>297</v>
      </c>
    </row>
    <row r="93" spans="2:5" x14ac:dyDescent="0.15">
      <c r="B93" s="1030">
        <v>1</v>
      </c>
      <c r="C93" s="1042">
        <v>49.503571428571426</v>
      </c>
      <c r="D93" s="1039">
        <v>0.16374844537815125</v>
      </c>
      <c r="E93" s="1042">
        <v>84.778571428571439</v>
      </c>
    </row>
    <row r="94" spans="2:5" x14ac:dyDescent="0.15">
      <c r="B94" s="1030">
        <v>2</v>
      </c>
      <c r="C94" s="1042">
        <v>49.189705882352946</v>
      </c>
      <c r="D94" s="1039">
        <v>0.16017037815126051</v>
      </c>
      <c r="E94" s="1042">
        <v>86.661764705882362</v>
      </c>
    </row>
    <row r="95" spans="2:5" x14ac:dyDescent="0.15">
      <c r="B95" s="1030">
        <v>3</v>
      </c>
      <c r="C95" s="1042">
        <v>46.384977609219568</v>
      </c>
      <c r="D95" s="1039">
        <v>0.16314838118684324</v>
      </c>
      <c r="E95" s="1042">
        <v>85.094394687154605</v>
      </c>
    </row>
    <row r="96" spans="2:5" x14ac:dyDescent="0.15">
      <c r="B96" s="1030">
        <v>4</v>
      </c>
      <c r="C96" s="1042">
        <v>45.150854986944765</v>
      </c>
      <c r="D96" s="1039">
        <v>0.17918143243969031</v>
      </c>
      <c r="E96" s="1042">
        <v>76.655946659340358</v>
      </c>
    </row>
    <row r="97" spans="2:5" x14ac:dyDescent="0.15">
      <c r="B97" s="1030">
        <v>5</v>
      </c>
      <c r="C97" s="1042">
        <v>44.454622937924668</v>
      </c>
      <c r="D97" s="1039">
        <v>0.18150746686131858</v>
      </c>
      <c r="E97" s="1042">
        <v>75.431718016378113</v>
      </c>
    </row>
    <row r="132" spans="2:6" x14ac:dyDescent="0.15">
      <c r="B132" s="1030" t="s">
        <v>188</v>
      </c>
      <c r="C132" s="1038" t="s">
        <v>298</v>
      </c>
      <c r="D132" s="1038" t="s">
        <v>299</v>
      </c>
    </row>
    <row r="133" spans="2:6" x14ac:dyDescent="0.15">
      <c r="B133" s="1030">
        <v>0</v>
      </c>
      <c r="C133" s="1065">
        <v>0</v>
      </c>
      <c r="D133" s="1065">
        <v>611717.91560000018</v>
      </c>
      <c r="E133" s="1064"/>
      <c r="F133" s="1063"/>
    </row>
    <row r="134" spans="2:6" x14ac:dyDescent="0.15">
      <c r="B134" s="1030">
        <v>1</v>
      </c>
      <c r="C134" s="1065">
        <v>673694.10357142857</v>
      </c>
      <c r="D134" s="1065">
        <v>1734703.119284285</v>
      </c>
      <c r="F134" s="1063"/>
    </row>
    <row r="135" spans="2:6" x14ac:dyDescent="0.15">
      <c r="B135" s="1030">
        <v>2</v>
      </c>
      <c r="C135" s="1065">
        <v>1999159.9182773111</v>
      </c>
      <c r="D135" s="1065">
        <v>3214545.9224235257</v>
      </c>
      <c r="F135" s="1063"/>
    </row>
    <row r="136" spans="2:6" x14ac:dyDescent="0.15">
      <c r="B136" s="1030">
        <v>3</v>
      </c>
      <c r="C136" s="1065">
        <v>5291843.9388453718</v>
      </c>
      <c r="D136" s="1065">
        <v>6048286.6217781715</v>
      </c>
      <c r="F136" s="1063"/>
    </row>
    <row r="137" spans="2:6" x14ac:dyDescent="0.15">
      <c r="B137" s="1030">
        <v>4</v>
      </c>
      <c r="C137" s="1065">
        <v>10791840.997622885</v>
      </c>
      <c r="D137" s="1065">
        <v>10309790.383619741</v>
      </c>
      <c r="F137" s="1063"/>
    </row>
    <row r="138" spans="2:6" x14ac:dyDescent="0.15">
      <c r="B138" s="1030">
        <v>5</v>
      </c>
      <c r="C138" s="1065">
        <v>18327833.132682811</v>
      </c>
      <c r="D138" s="1065">
        <v>15972078.24840726</v>
      </c>
    </row>
    <row r="140" spans="2:6" x14ac:dyDescent="0.15">
      <c r="C140" s="1066"/>
      <c r="D140" s="1066"/>
    </row>
    <row r="174" spans="2:4" x14ac:dyDescent="0.15">
      <c r="B174" s="1038" t="s">
        <v>188</v>
      </c>
      <c r="C174" s="1038" t="s">
        <v>283</v>
      </c>
      <c r="D174" s="1038" t="s">
        <v>300</v>
      </c>
    </row>
    <row r="175" spans="2:4" x14ac:dyDescent="0.15">
      <c r="B175" s="1038">
        <v>0</v>
      </c>
      <c r="C175" s="1065">
        <v>-644577.80295170227</v>
      </c>
      <c r="D175" s="1066">
        <f>C175</f>
        <v>-644577.80295170227</v>
      </c>
    </row>
    <row r="176" spans="2:4" x14ac:dyDescent="0.15">
      <c r="B176" s="1038">
        <v>1</v>
      </c>
      <c r="C176" s="1065">
        <v>-588774.89339522074</v>
      </c>
      <c r="D176" s="1066">
        <f t="shared" ref="D176:D181" si="1">C176+D175</f>
        <v>-1233352.696346923</v>
      </c>
    </row>
    <row r="177" spans="2:4" x14ac:dyDescent="0.15">
      <c r="B177" s="1038">
        <v>2</v>
      </c>
      <c r="C177" s="1065">
        <v>-300885.19719954859</v>
      </c>
      <c r="D177" s="1066">
        <f t="shared" si="1"/>
        <v>-1534237.8935464716</v>
      </c>
    </row>
    <row r="178" spans="2:4" x14ac:dyDescent="0.15">
      <c r="B178" s="1038">
        <v>3</v>
      </c>
      <c r="C178" s="1065">
        <v>-2849.6180389704696</v>
      </c>
      <c r="D178" s="1066">
        <f t="shared" si="1"/>
        <v>-1537087.5115854421</v>
      </c>
    </row>
    <row r="179" spans="2:4" x14ac:dyDescent="0.15">
      <c r="B179" s="1038">
        <v>4</v>
      </c>
      <c r="C179" s="1065">
        <v>548438.6527262415</v>
      </c>
      <c r="D179" s="1066">
        <f t="shared" si="1"/>
        <v>-988648.85885920061</v>
      </c>
    </row>
    <row r="180" spans="2:4" x14ac:dyDescent="0.15">
      <c r="B180" s="1038">
        <v>5</v>
      </c>
      <c r="C180" s="1065">
        <f>'FE Cash Flow'!I13</f>
        <v>898214.61743229162</v>
      </c>
      <c r="D180" s="1066">
        <f t="shared" si="1"/>
        <v>-90434.241426908993</v>
      </c>
    </row>
    <row r="181" spans="2:4" x14ac:dyDescent="0.15">
      <c r="B181" s="1038">
        <v>6</v>
      </c>
      <c r="C181" s="1065">
        <f>'FE Terminal Value'!E12</f>
        <v>970071.78682687506</v>
      </c>
      <c r="D181" s="1066">
        <f t="shared" si="1"/>
        <v>879637.54539996607</v>
      </c>
    </row>
    <row r="182" spans="2:4" x14ac:dyDescent="0.15">
      <c r="B182" s="1038"/>
      <c r="C182" s="1066"/>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74E05-92BD-42CF-8D46-9CA1F5284618}">
  <sheetPr published="0">
    <tabColor rgb="FFFF0000"/>
  </sheetPr>
  <dimension ref="A1:S116"/>
  <sheetViews>
    <sheetView showGridLines="0" topLeftCell="A68" zoomScale="134" zoomScaleNormal="134" workbookViewId="0">
      <selection activeCell="C73" sqref="C73:G73"/>
    </sheetView>
  </sheetViews>
  <sheetFormatPr baseColWidth="10" defaultColWidth="8.83203125" defaultRowHeight="15" x14ac:dyDescent="0.2"/>
  <cols>
    <col min="1" max="1" width="1.83203125" customWidth="1"/>
    <col min="2" max="2" width="39.83203125" bestFit="1" customWidth="1"/>
    <col min="3" max="7" width="14.83203125" customWidth="1"/>
    <col min="8" max="8" width="60.83203125" bestFit="1" customWidth="1"/>
    <col min="9" max="9" width="110" bestFit="1" customWidth="1"/>
    <col min="10" max="10" width="30" bestFit="1" customWidth="1"/>
    <col min="11" max="11" width="31" customWidth="1"/>
    <col min="12" max="12" width="9.5" bestFit="1" customWidth="1"/>
    <col min="13" max="13" width="10.5" customWidth="1"/>
  </cols>
  <sheetData>
    <row r="1" spans="2:19" x14ac:dyDescent="0.2">
      <c r="B1" s="56" t="s">
        <v>37</v>
      </c>
    </row>
    <row r="2" spans="2:19" x14ac:dyDescent="0.2">
      <c r="B2" s="1818" t="s">
        <v>10</v>
      </c>
      <c r="C2" s="1818"/>
      <c r="D2" s="1818"/>
      <c r="E2" s="1818"/>
      <c r="F2" s="1818"/>
      <c r="G2" s="1818"/>
      <c r="H2" s="1818"/>
      <c r="I2" s="1818"/>
      <c r="J2" s="1818"/>
    </row>
    <row r="3" spans="2:19" x14ac:dyDescent="0.2">
      <c r="B3" s="1395"/>
    </row>
    <row r="4" spans="2:19" x14ac:dyDescent="0.2">
      <c r="B4" s="1807" t="s">
        <v>301</v>
      </c>
      <c r="C4" s="1807"/>
      <c r="D4" s="1807"/>
      <c r="E4" s="1807"/>
      <c r="F4" s="1807"/>
      <c r="G4" s="1807"/>
      <c r="H4" s="1166" t="s">
        <v>302</v>
      </c>
      <c r="I4" s="938"/>
    </row>
    <row r="5" spans="2:19" x14ac:dyDescent="0.2">
      <c r="B5" s="1396" t="s">
        <v>303</v>
      </c>
      <c r="C5" s="52">
        <v>5</v>
      </c>
      <c r="D5" s="52" t="s">
        <v>304</v>
      </c>
      <c r="E5" s="649"/>
      <c r="F5" s="649"/>
      <c r="G5" s="649"/>
      <c r="H5" s="649"/>
      <c r="I5" s="649"/>
      <c r="K5" s="810"/>
      <c r="L5" s="6"/>
      <c r="M5" s="6"/>
      <c r="N5" s="6"/>
      <c r="O5" s="6"/>
      <c r="P5" s="6"/>
      <c r="Q5" s="6"/>
      <c r="R5" s="6"/>
      <c r="S5" s="6"/>
    </row>
    <row r="6" spans="2:19" x14ac:dyDescent="0.2">
      <c r="B6" s="10" t="s">
        <v>305</v>
      </c>
      <c r="C6" s="52">
        <v>3</v>
      </c>
      <c r="D6" s="1397" t="s">
        <v>304</v>
      </c>
      <c r="K6" s="10"/>
      <c r="L6" s="811"/>
      <c r="M6" s="812"/>
      <c r="N6" s="3"/>
      <c r="O6" s="3"/>
      <c r="P6" s="3"/>
      <c r="Q6" s="3"/>
      <c r="R6" s="3"/>
      <c r="S6" s="7"/>
    </row>
    <row r="7" spans="2:19" x14ac:dyDescent="0.2">
      <c r="B7" s="3"/>
      <c r="C7" s="813"/>
      <c r="D7" s="813"/>
      <c r="K7" s="3"/>
      <c r="L7" s="813"/>
      <c r="M7" s="813"/>
    </row>
    <row r="8" spans="2:19" x14ac:dyDescent="0.2">
      <c r="B8" s="1807" t="s">
        <v>306</v>
      </c>
      <c r="C8" s="1807"/>
      <c r="D8" s="1807"/>
      <c r="E8" s="1807"/>
      <c r="F8" s="1807"/>
      <c r="G8" s="1807"/>
      <c r="H8" t="s">
        <v>307</v>
      </c>
      <c r="I8" s="938"/>
      <c r="K8" s="71"/>
      <c r="L8" s="813"/>
      <c r="M8" s="813"/>
      <c r="N8" s="117"/>
      <c r="O8" s="117"/>
      <c r="P8" s="117"/>
    </row>
    <row r="9" spans="2:19" x14ac:dyDescent="0.2">
      <c r="B9" s="71" t="s">
        <v>188</v>
      </c>
      <c r="C9">
        <v>1</v>
      </c>
      <c r="D9">
        <v>2</v>
      </c>
      <c r="E9">
        <v>3</v>
      </c>
      <c r="F9">
        <v>4</v>
      </c>
      <c r="G9">
        <v>5</v>
      </c>
      <c r="K9" s="71"/>
      <c r="L9" s="813"/>
      <c r="M9" s="813"/>
      <c r="N9" s="117"/>
      <c r="O9" s="117"/>
      <c r="P9" s="117"/>
    </row>
    <row r="10" spans="2:19" x14ac:dyDescent="0.2">
      <c r="B10" s="1795" t="s">
        <v>85</v>
      </c>
      <c r="C10" s="64">
        <v>1.16666666666667E-2</v>
      </c>
      <c r="D10" s="64">
        <v>1E-3</v>
      </c>
      <c r="E10" s="64">
        <v>1E-3</v>
      </c>
      <c r="F10" s="64">
        <v>1E-3</v>
      </c>
      <c r="G10" s="64">
        <v>1E-3</v>
      </c>
      <c r="H10" t="s">
        <v>308</v>
      </c>
      <c r="K10" s="60"/>
      <c r="L10" s="813"/>
      <c r="M10" s="813"/>
      <c r="N10" s="117"/>
      <c r="O10" s="117"/>
      <c r="P10" s="117"/>
    </row>
    <row r="11" spans="2:19" ht="16" x14ac:dyDescent="0.2">
      <c r="B11" s="718" t="s">
        <v>309</v>
      </c>
      <c r="C11" s="215">
        <v>1.7500000000000007E-3</v>
      </c>
      <c r="D11" s="215">
        <v>1E-3</v>
      </c>
      <c r="E11" s="215">
        <v>1E-3</v>
      </c>
      <c r="F11" s="215">
        <v>1E-3</v>
      </c>
      <c r="G11" s="215">
        <v>1E-3</v>
      </c>
      <c r="K11" s="60"/>
      <c r="L11" s="813"/>
      <c r="M11" s="813"/>
      <c r="N11" s="117"/>
      <c r="O11" s="117"/>
      <c r="P11" s="117"/>
    </row>
    <row r="12" spans="2:19" x14ac:dyDescent="0.2">
      <c r="B12" s="1313"/>
      <c r="C12" s="215"/>
      <c r="D12" s="215"/>
      <c r="E12" s="215"/>
      <c r="F12" s="215"/>
      <c r="G12" s="215"/>
      <c r="K12" s="60"/>
      <c r="L12" s="813"/>
      <c r="M12" s="813"/>
      <c r="N12" s="117"/>
      <c r="O12" s="117"/>
      <c r="P12" s="117"/>
    </row>
    <row r="13" spans="2:19" x14ac:dyDescent="0.2">
      <c r="B13" s="1807" t="s">
        <v>310</v>
      </c>
      <c r="C13" s="1807"/>
      <c r="D13" s="1807"/>
      <c r="E13" s="1807"/>
      <c r="F13" s="1807"/>
      <c r="G13" s="1807"/>
      <c r="H13" s="1807"/>
      <c r="I13" t="s">
        <v>311</v>
      </c>
    </row>
    <row r="14" spans="2:19" x14ac:dyDescent="0.2">
      <c r="B14" s="1158" t="s">
        <v>312</v>
      </c>
      <c r="C14" s="1158" t="s">
        <v>313</v>
      </c>
      <c r="D14" s="1158" t="s">
        <v>314</v>
      </c>
      <c r="E14" s="1158" t="s">
        <v>315</v>
      </c>
      <c r="F14" s="1158" t="s">
        <v>316</v>
      </c>
      <c r="G14" s="1158" t="s">
        <v>317</v>
      </c>
      <c r="H14" s="1158" t="s">
        <v>318</v>
      </c>
    </row>
    <row r="15" spans="2:19" x14ac:dyDescent="0.2">
      <c r="B15" s="112" t="s">
        <v>319</v>
      </c>
      <c r="C15" s="636">
        <f>26</f>
        <v>26</v>
      </c>
      <c r="D15" s="136">
        <f>C15/7</f>
        <v>3.7142857142857144</v>
      </c>
      <c r="E15" s="136">
        <f>D15*0.8</f>
        <v>2.9714285714285715</v>
      </c>
      <c r="F15" s="136">
        <f t="shared" ref="F15:F30" si="0">D15*1.2</f>
        <v>4.4571428571428573</v>
      </c>
      <c r="G15" s="136">
        <f>(4*D15+E15+F15)/6</f>
        <v>3.714285714285714</v>
      </c>
      <c r="H15" s="136">
        <f t="shared" ref="H15:H30" si="1">-(E15-F15)/6</f>
        <v>0.24761904761904763</v>
      </c>
    </row>
    <row r="16" spans="2:19" x14ac:dyDescent="0.2">
      <c r="B16" s="112" t="s">
        <v>320</v>
      </c>
      <c r="C16" s="636">
        <f>13</f>
        <v>13</v>
      </c>
      <c r="D16" s="136">
        <f t="shared" ref="D16:D30" si="2">C16/7</f>
        <v>1.8571428571428572</v>
      </c>
      <c r="E16" s="136">
        <f t="shared" ref="E16:E30" si="3">D16*0.8</f>
        <v>1.4857142857142858</v>
      </c>
      <c r="F16" s="136">
        <f t="shared" si="0"/>
        <v>2.2285714285714286</v>
      </c>
      <c r="G16" s="136">
        <f t="shared" ref="G16:G30" si="4">(4*D16+E16+F16)/6</f>
        <v>1.857142857142857</v>
      </c>
      <c r="H16" s="136">
        <f t="shared" si="1"/>
        <v>0.12380952380952381</v>
      </c>
    </row>
    <row r="17" spans="2:8" x14ac:dyDescent="0.2">
      <c r="B17" s="112" t="s">
        <v>321</v>
      </c>
      <c r="C17" s="636">
        <f>3</f>
        <v>3</v>
      </c>
      <c r="D17" s="136">
        <f t="shared" si="2"/>
        <v>0.42857142857142855</v>
      </c>
      <c r="E17" s="136">
        <f t="shared" si="3"/>
        <v>0.34285714285714286</v>
      </c>
      <c r="F17" s="136">
        <f t="shared" si="0"/>
        <v>0.51428571428571423</v>
      </c>
      <c r="G17" s="136">
        <f t="shared" si="4"/>
        <v>0.42857142857142855</v>
      </c>
      <c r="H17" s="136">
        <f t="shared" si="1"/>
        <v>2.8571428571428564E-2</v>
      </c>
    </row>
    <row r="18" spans="2:8" x14ac:dyDescent="0.2">
      <c r="B18" s="112" t="s">
        <v>322</v>
      </c>
      <c r="C18" s="636">
        <f>4</f>
        <v>4</v>
      </c>
      <c r="D18" s="136">
        <f t="shared" si="2"/>
        <v>0.5714285714285714</v>
      </c>
      <c r="E18" s="136">
        <f t="shared" si="3"/>
        <v>0.45714285714285713</v>
      </c>
      <c r="F18" s="136">
        <f t="shared" si="0"/>
        <v>0.68571428571428561</v>
      </c>
      <c r="G18" s="136">
        <f t="shared" si="4"/>
        <v>0.5714285714285714</v>
      </c>
      <c r="H18" s="136">
        <f t="shared" si="1"/>
        <v>3.8095238095238078E-2</v>
      </c>
    </row>
    <row r="19" spans="2:8" x14ac:dyDescent="0.2">
      <c r="B19" s="112" t="s">
        <v>323</v>
      </c>
      <c r="C19" s="636">
        <v>26</v>
      </c>
      <c r="D19" s="136">
        <f>C19/7</f>
        <v>3.7142857142857144</v>
      </c>
      <c r="E19" s="136">
        <f t="shared" si="3"/>
        <v>2.9714285714285715</v>
      </c>
      <c r="F19" s="136">
        <f t="shared" si="0"/>
        <v>4.4571428571428573</v>
      </c>
      <c r="G19" s="136">
        <f t="shared" si="4"/>
        <v>3.714285714285714</v>
      </c>
      <c r="H19" s="136">
        <f t="shared" si="1"/>
        <v>0.24761904761904763</v>
      </c>
    </row>
    <row r="20" spans="2:8" x14ac:dyDescent="0.2">
      <c r="B20" s="112" t="s">
        <v>324</v>
      </c>
      <c r="C20" s="636">
        <f>15</f>
        <v>15</v>
      </c>
      <c r="D20" s="136">
        <f t="shared" si="2"/>
        <v>2.1428571428571428</v>
      </c>
      <c r="E20" s="136">
        <f t="shared" si="3"/>
        <v>1.7142857142857144</v>
      </c>
      <c r="F20" s="136">
        <f t="shared" si="0"/>
        <v>2.5714285714285712</v>
      </c>
      <c r="G20" s="136">
        <f t="shared" si="4"/>
        <v>2.1428571428571428</v>
      </c>
      <c r="H20" s="136">
        <f t="shared" si="1"/>
        <v>0.14285714285714279</v>
      </c>
    </row>
    <row r="21" spans="2:8" x14ac:dyDescent="0.2">
      <c r="B21" s="112" t="s">
        <v>325</v>
      </c>
      <c r="C21" s="636">
        <f>7</f>
        <v>7</v>
      </c>
      <c r="D21" s="136">
        <f t="shared" si="2"/>
        <v>1</v>
      </c>
      <c r="E21" s="136">
        <f t="shared" si="3"/>
        <v>0.8</v>
      </c>
      <c r="F21" s="136">
        <f t="shared" si="0"/>
        <v>1.2</v>
      </c>
      <c r="G21" s="136">
        <f t="shared" si="4"/>
        <v>1</v>
      </c>
      <c r="H21" s="136">
        <f t="shared" si="1"/>
        <v>6.6666666666666652E-2</v>
      </c>
    </row>
    <row r="22" spans="2:8" x14ac:dyDescent="0.2">
      <c r="B22" s="112" t="s">
        <v>326</v>
      </c>
      <c r="C22" s="636">
        <f>3</f>
        <v>3</v>
      </c>
      <c r="D22" s="136">
        <f t="shared" si="2"/>
        <v>0.42857142857142855</v>
      </c>
      <c r="E22" s="136">
        <f t="shared" si="3"/>
        <v>0.34285714285714286</v>
      </c>
      <c r="F22" s="136">
        <f t="shared" si="0"/>
        <v>0.51428571428571423</v>
      </c>
      <c r="G22" s="136">
        <f t="shared" si="4"/>
        <v>0.42857142857142855</v>
      </c>
      <c r="H22" s="136">
        <f t="shared" si="1"/>
        <v>2.8571428571428564E-2</v>
      </c>
    </row>
    <row r="23" spans="2:8" x14ac:dyDescent="0.2">
      <c r="B23" s="112" t="s">
        <v>327</v>
      </c>
      <c r="C23" s="636">
        <f>15</f>
        <v>15</v>
      </c>
      <c r="D23" s="136">
        <f t="shared" si="2"/>
        <v>2.1428571428571428</v>
      </c>
      <c r="E23" s="136">
        <f t="shared" si="3"/>
        <v>1.7142857142857144</v>
      </c>
      <c r="F23" s="136">
        <f t="shared" si="0"/>
        <v>2.5714285714285712</v>
      </c>
      <c r="G23" s="136">
        <f t="shared" si="4"/>
        <v>2.1428571428571428</v>
      </c>
      <c r="H23" s="136">
        <f t="shared" si="1"/>
        <v>0.14285714285714279</v>
      </c>
    </row>
    <row r="24" spans="2:8" x14ac:dyDescent="0.2">
      <c r="B24" s="221" t="s">
        <v>328</v>
      </c>
      <c r="C24" s="636">
        <f>1</f>
        <v>1</v>
      </c>
      <c r="D24" s="136">
        <f t="shared" si="2"/>
        <v>0.14285714285714285</v>
      </c>
      <c r="E24" s="136">
        <f t="shared" si="3"/>
        <v>0.11428571428571428</v>
      </c>
      <c r="F24" s="136">
        <f t="shared" si="0"/>
        <v>0.1714285714285714</v>
      </c>
      <c r="G24" s="136">
        <f t="shared" si="4"/>
        <v>0.14285714285714285</v>
      </c>
      <c r="H24" s="136">
        <f t="shared" si="1"/>
        <v>9.5238095238095195E-3</v>
      </c>
    </row>
    <row r="25" spans="2:8" x14ac:dyDescent="0.2">
      <c r="B25" s="221" t="s">
        <v>329</v>
      </c>
      <c r="C25" s="636">
        <f>4</f>
        <v>4</v>
      </c>
      <c r="D25" s="136">
        <f t="shared" si="2"/>
        <v>0.5714285714285714</v>
      </c>
      <c r="E25" s="136">
        <f t="shared" si="3"/>
        <v>0.45714285714285713</v>
      </c>
      <c r="F25" s="136">
        <f t="shared" si="0"/>
        <v>0.68571428571428561</v>
      </c>
      <c r="G25" s="136">
        <f t="shared" si="4"/>
        <v>0.5714285714285714</v>
      </c>
      <c r="H25" s="136">
        <f t="shared" si="1"/>
        <v>3.8095238095238078E-2</v>
      </c>
    </row>
    <row r="26" spans="2:8" x14ac:dyDescent="0.2">
      <c r="B26" s="112" t="s">
        <v>330</v>
      </c>
      <c r="C26" s="636">
        <f>4</f>
        <v>4</v>
      </c>
      <c r="D26" s="136">
        <f t="shared" si="2"/>
        <v>0.5714285714285714</v>
      </c>
      <c r="E26" s="136">
        <f t="shared" si="3"/>
        <v>0.45714285714285713</v>
      </c>
      <c r="F26" s="136">
        <f t="shared" si="0"/>
        <v>0.68571428571428561</v>
      </c>
      <c r="G26" s="136">
        <f t="shared" si="4"/>
        <v>0.5714285714285714</v>
      </c>
      <c r="H26" s="136">
        <f t="shared" si="1"/>
        <v>3.8095238095238078E-2</v>
      </c>
    </row>
    <row r="27" spans="2:8" x14ac:dyDescent="0.2">
      <c r="B27" s="112" t="s">
        <v>331</v>
      </c>
      <c r="C27" s="636">
        <f>4</f>
        <v>4</v>
      </c>
      <c r="D27" s="136">
        <f t="shared" si="2"/>
        <v>0.5714285714285714</v>
      </c>
      <c r="E27" s="136">
        <f t="shared" si="3"/>
        <v>0.45714285714285713</v>
      </c>
      <c r="F27" s="136">
        <f t="shared" si="0"/>
        <v>0.68571428571428561</v>
      </c>
      <c r="G27" s="136">
        <f t="shared" si="4"/>
        <v>0.5714285714285714</v>
      </c>
      <c r="H27" s="136">
        <f t="shared" si="1"/>
        <v>3.8095238095238078E-2</v>
      </c>
    </row>
    <row r="28" spans="2:8" x14ac:dyDescent="0.2">
      <c r="B28" s="222" t="s">
        <v>332</v>
      </c>
      <c r="C28" s="636">
        <f>10</f>
        <v>10</v>
      </c>
      <c r="D28" s="136">
        <f t="shared" si="2"/>
        <v>1.4285714285714286</v>
      </c>
      <c r="E28" s="136">
        <f t="shared" si="3"/>
        <v>1.142857142857143</v>
      </c>
      <c r="F28" s="136">
        <f t="shared" si="0"/>
        <v>1.7142857142857142</v>
      </c>
      <c r="G28" s="136">
        <f t="shared" si="4"/>
        <v>1.4285714285714286</v>
      </c>
      <c r="H28" s="136">
        <f t="shared" si="1"/>
        <v>9.5238095238095191E-2</v>
      </c>
    </row>
    <row r="29" spans="2:8" x14ac:dyDescent="0.2">
      <c r="B29" s="112" t="s">
        <v>333</v>
      </c>
      <c r="C29" s="636">
        <f>1</f>
        <v>1</v>
      </c>
      <c r="D29" s="136">
        <f t="shared" si="2"/>
        <v>0.14285714285714285</v>
      </c>
      <c r="E29" s="136">
        <f t="shared" si="3"/>
        <v>0.11428571428571428</v>
      </c>
      <c r="F29" s="136">
        <f t="shared" si="0"/>
        <v>0.1714285714285714</v>
      </c>
      <c r="G29" s="136">
        <f t="shared" si="4"/>
        <v>0.14285714285714285</v>
      </c>
      <c r="H29" s="136">
        <f t="shared" si="1"/>
        <v>9.5238095238095195E-3</v>
      </c>
    </row>
    <row r="30" spans="2:8" x14ac:dyDescent="0.2">
      <c r="B30" s="112" t="s">
        <v>334</v>
      </c>
      <c r="C30" s="636">
        <f>6</f>
        <v>6</v>
      </c>
      <c r="D30" s="136">
        <f t="shared" si="2"/>
        <v>0.8571428571428571</v>
      </c>
      <c r="E30" s="136">
        <f t="shared" si="3"/>
        <v>0.68571428571428572</v>
      </c>
      <c r="F30" s="136">
        <f t="shared" si="0"/>
        <v>1.0285714285714285</v>
      </c>
      <c r="G30" s="136">
        <f t="shared" si="4"/>
        <v>0.8571428571428571</v>
      </c>
      <c r="H30" s="136">
        <f t="shared" si="1"/>
        <v>5.7142857142857127E-2</v>
      </c>
    </row>
    <row r="32" spans="2:8" x14ac:dyDescent="0.2">
      <c r="C32" s="1819" t="s">
        <v>188</v>
      </c>
      <c r="D32" s="1819"/>
      <c r="E32" s="1819"/>
      <c r="F32" s="1819"/>
      <c r="G32" s="1819"/>
    </row>
    <row r="33" spans="1:11" s="233" customFormat="1" x14ac:dyDescent="0.2">
      <c r="A33"/>
      <c r="B33" s="1398" t="s">
        <v>335</v>
      </c>
      <c r="C33" s="188">
        <v>1</v>
      </c>
      <c r="D33" s="1399">
        <f>C33+1</f>
        <v>2</v>
      </c>
      <c r="E33" s="1399">
        <f>D33+1</f>
        <v>3</v>
      </c>
      <c r="F33" s="1399">
        <f>E33+1</f>
        <v>4</v>
      </c>
      <c r="G33" s="1399">
        <f>F33+1</f>
        <v>5</v>
      </c>
      <c r="H33" t="s">
        <v>336</v>
      </c>
      <c r="I33"/>
      <c r="J33"/>
      <c r="K33"/>
    </row>
    <row r="34" spans="1:11" s="233" customFormat="1" x14ac:dyDescent="0.2">
      <c r="A34"/>
      <c r="B34" s="137" t="s">
        <v>337</v>
      </c>
      <c r="C34" s="138">
        <v>0.9</v>
      </c>
      <c r="D34" s="138">
        <v>0.9</v>
      </c>
      <c r="E34" s="138">
        <v>0.9</v>
      </c>
      <c r="F34" s="138">
        <v>0.9</v>
      </c>
      <c r="G34" s="138">
        <v>0.9</v>
      </c>
      <c r="H34"/>
      <c r="I34"/>
      <c r="J34"/>
      <c r="K34"/>
    </row>
    <row r="35" spans="1:11" s="233" customFormat="1" x14ac:dyDescent="0.2">
      <c r="A35"/>
      <c r="B35" t="s">
        <v>338</v>
      </c>
      <c r="C35">
        <v>1.28</v>
      </c>
      <c r="D35">
        <v>1.28</v>
      </c>
      <c r="E35">
        <v>1.28</v>
      </c>
      <c r="F35">
        <v>1.28</v>
      </c>
      <c r="G35">
        <v>1.28</v>
      </c>
      <c r="H35"/>
      <c r="I35"/>
      <c r="J35"/>
      <c r="K35"/>
    </row>
    <row r="36" spans="1:11" s="233" customFormat="1" x14ac:dyDescent="0.2">
      <c r="A36"/>
      <c r="B36" t="s">
        <v>339</v>
      </c>
      <c r="C36" s="9">
        <v>0.3</v>
      </c>
      <c r="D36" s="9">
        <v>0.3</v>
      </c>
      <c r="E36" s="9">
        <v>0.3</v>
      </c>
      <c r="F36" s="9">
        <v>0.3</v>
      </c>
      <c r="G36" s="9">
        <v>0.3</v>
      </c>
      <c r="H36"/>
      <c r="I36"/>
      <c r="J36"/>
      <c r="K36"/>
    </row>
    <row r="37" spans="1:11" x14ac:dyDescent="0.2">
      <c r="B37" t="s">
        <v>340</v>
      </c>
      <c r="C37" s="9">
        <v>40</v>
      </c>
      <c r="D37" s="9">
        <v>40</v>
      </c>
      <c r="E37" s="9">
        <v>40</v>
      </c>
      <c r="F37" s="9">
        <v>40</v>
      </c>
      <c r="G37" s="9">
        <v>40</v>
      </c>
    </row>
    <row r="38" spans="1:11" x14ac:dyDescent="0.2">
      <c r="C38" s="9"/>
      <c r="D38" s="9"/>
      <c r="E38" s="9"/>
      <c r="F38" s="9"/>
      <c r="G38" s="9"/>
    </row>
    <row r="39" spans="1:11" s="233" customFormat="1" x14ac:dyDescent="0.2">
      <c r="A39"/>
      <c r="B39"/>
      <c r="H39"/>
      <c r="I39"/>
      <c r="J39"/>
      <c r="K39"/>
    </row>
    <row r="40" spans="1:11" s="233" customFormat="1" x14ac:dyDescent="0.2">
      <c r="A40"/>
      <c r="B40" s="1068" t="s">
        <v>341</v>
      </c>
      <c r="C40" s="1158">
        <v>1</v>
      </c>
      <c r="D40" s="1158">
        <v>2</v>
      </c>
      <c r="E40" s="1158">
        <v>3</v>
      </c>
      <c r="F40" s="1158">
        <v>4</v>
      </c>
      <c r="G40" s="1158">
        <v>5</v>
      </c>
    </row>
    <row r="41" spans="1:11" s="233" customFormat="1" x14ac:dyDescent="0.2">
      <c r="A41"/>
      <c r="B41" t="s">
        <v>342</v>
      </c>
      <c r="C41" s="136">
        <f>'OM Assumptions'!C73</f>
        <v>30.37449046820376</v>
      </c>
      <c r="D41" s="136">
        <f>'OM Assumptions'!D73</f>
        <v>26.583200265098725</v>
      </c>
      <c r="E41" s="136">
        <f>'OM Assumptions'!E73</f>
        <v>21.314549584023851</v>
      </c>
      <c r="F41" s="136">
        <f>'OM Assumptions'!F73</f>
        <v>20.12383882033145</v>
      </c>
      <c r="G41" s="136">
        <f>'OM Assumptions'!G73</f>
        <v>19.711400269214373</v>
      </c>
      <c r="H41"/>
      <c r="I41"/>
      <c r="J41"/>
      <c r="K41"/>
    </row>
    <row r="42" spans="1:11" s="233" customFormat="1" x14ac:dyDescent="0.2">
      <c r="A42"/>
      <c r="B42" t="s">
        <v>343</v>
      </c>
      <c r="C42" s="136">
        <f>'MK Bases Model (Base Case)'!C16</f>
        <v>49.503571428571426</v>
      </c>
      <c r="D42" s="136">
        <f>'MK Bases Model (Base Case)'!D16</f>
        <v>49.189705882352946</v>
      </c>
      <c r="E42" s="136">
        <f>'MK Bases Model (Base Case)'!E16</f>
        <v>46.384977609219568</v>
      </c>
      <c r="F42" s="136">
        <f>'MK Bases Model (Base Case)'!F16</f>
        <v>45.150854986944765</v>
      </c>
      <c r="G42" s="136">
        <f>'MK Bases Model (Base Case)'!G16</f>
        <v>44.454622937924668</v>
      </c>
      <c r="H42"/>
      <c r="I42"/>
      <c r="J42"/>
      <c r="K42"/>
    </row>
    <row r="43" spans="1:11" s="233" customFormat="1" x14ac:dyDescent="0.2">
      <c r="A43"/>
      <c r="B43" t="s">
        <v>344</v>
      </c>
      <c r="C43" s="136">
        <f>C42-C41</f>
        <v>19.129080960367666</v>
      </c>
      <c r="D43" s="136">
        <f>D42-D41</f>
        <v>22.606505617254221</v>
      </c>
      <c r="E43" s="136">
        <f>E42-E41</f>
        <v>25.070428025195717</v>
      </c>
      <c r="F43" s="136">
        <f>F42-F41</f>
        <v>25.027016166613315</v>
      </c>
      <c r="G43" s="136">
        <f>G42-G41</f>
        <v>24.743222668710295</v>
      </c>
      <c r="H43"/>
      <c r="I43"/>
      <c r="J43"/>
      <c r="K43"/>
    </row>
    <row r="44" spans="1:11" x14ac:dyDescent="0.2">
      <c r="B44" t="s">
        <v>345</v>
      </c>
      <c r="C44" s="136">
        <f>(C41*C36/6)</f>
        <v>1.5187245234101878</v>
      </c>
      <c r="D44" s="136">
        <f>(D41*D36/6)</f>
        <v>1.3291600132549362</v>
      </c>
      <c r="E44" s="136">
        <f>(E41*E36/6)</f>
        <v>1.0657274792011926</v>
      </c>
      <c r="F44" s="136">
        <f>(F41*F36/6)</f>
        <v>1.0061919410165725</v>
      </c>
      <c r="G44" s="136">
        <f>(G41*G36/6)</f>
        <v>0.98557001346071871</v>
      </c>
    </row>
    <row r="46" spans="1:11" x14ac:dyDescent="0.2">
      <c r="B46" s="1819" t="s">
        <v>346</v>
      </c>
      <c r="C46" s="1819"/>
      <c r="D46" s="1819"/>
      <c r="E46" s="1819"/>
      <c r="F46" s="1819"/>
      <c r="G46" s="1819"/>
      <c r="H46" t="s">
        <v>347</v>
      </c>
    </row>
    <row r="47" spans="1:11" x14ac:dyDescent="0.2">
      <c r="B47" s="1068"/>
      <c r="C47" s="1819" t="s">
        <v>188</v>
      </c>
      <c r="D47" s="1819"/>
      <c r="E47" s="1819"/>
      <c r="F47" s="1819"/>
      <c r="G47" s="1819"/>
    </row>
    <row r="48" spans="1:11" x14ac:dyDescent="0.2">
      <c r="B48" s="1398" t="s">
        <v>348</v>
      </c>
      <c r="C48" s="37">
        <v>1</v>
      </c>
      <c r="D48" s="37">
        <f>C48+1</f>
        <v>2</v>
      </c>
      <c r="E48" s="37">
        <f>D48+1</f>
        <v>3</v>
      </c>
      <c r="F48" s="37">
        <f>E48+1</f>
        <v>4</v>
      </c>
      <c r="G48" s="37">
        <f>F48+1</f>
        <v>5</v>
      </c>
      <c r="H48" s="7"/>
      <c r="I48" s="7"/>
      <c r="J48" s="7"/>
    </row>
    <row r="49" spans="2:10" x14ac:dyDescent="0.2">
      <c r="B49" s="10"/>
      <c r="C49" s="981">
        <f>'MK Bases Model (Base Case)'!C15*(1+'FE Assumptions'!D48)</f>
        <v>13767.771666666667</v>
      </c>
      <c r="D49" s="981">
        <f>'MK Bases Model (Base Case)'!D15*(1+'FE Assumptions'!E48)</f>
        <v>26973.946999999996</v>
      </c>
      <c r="E49" s="981">
        <f>'MK Bases Model (Base Case)'!E15*(1+'FE Assumptions'!F48)</f>
        <v>71058.987999999998</v>
      </c>
      <c r="F49" s="981">
        <f>'MK Bases Model (Base Case)'!F15*(1+'FE Assumptions'!G48)</f>
        <v>121939.55102152312</v>
      </c>
      <c r="G49" s="981">
        <f>'MK Bases Model (Base Case)'!G15*(1+'FE Assumptions'!H48)</f>
        <v>169698.52899999998</v>
      </c>
      <c r="H49" s="3"/>
      <c r="I49" s="3"/>
      <c r="J49" s="7"/>
    </row>
    <row r="50" spans="2:10" x14ac:dyDescent="0.2">
      <c r="B50" s="71" t="s">
        <v>349</v>
      </c>
      <c r="C50" s="117">
        <f>C49</f>
        <v>13767.771666666667</v>
      </c>
      <c r="D50" s="117">
        <f>D49</f>
        <v>26973.946999999996</v>
      </c>
      <c r="E50" s="117">
        <f>E49</f>
        <v>71058.987999999998</v>
      </c>
      <c r="F50" s="117">
        <f>F49</f>
        <v>121939.55102152312</v>
      </c>
      <c r="G50" s="117">
        <f>G49</f>
        <v>169698.52899999998</v>
      </c>
    </row>
    <row r="51" spans="2:10" x14ac:dyDescent="0.2">
      <c r="B51" s="71" t="s">
        <v>315</v>
      </c>
      <c r="C51" s="117">
        <f>C49*C60</f>
        <v>27535.543333333335</v>
      </c>
      <c r="D51" s="117">
        <f>D49*D60</f>
        <v>53947.893999999993</v>
      </c>
      <c r="E51" s="117">
        <f>E49*E60</f>
        <v>142117.976</v>
      </c>
      <c r="F51" s="117">
        <f>F49*F60</f>
        <v>243879.10204304624</v>
      </c>
      <c r="G51" s="117">
        <f>G49*G60</f>
        <v>339397.05799999996</v>
      </c>
    </row>
    <row r="52" spans="2:10" ht="16" thickBot="1" x14ac:dyDescent="0.25">
      <c r="B52" s="60" t="s">
        <v>316</v>
      </c>
      <c r="C52" s="117">
        <f>C49*C62</f>
        <v>6883.8858333333337</v>
      </c>
      <c r="D52" s="117">
        <f>D49*D62</f>
        <v>13486.973499999998</v>
      </c>
      <c r="E52" s="117">
        <f>E49*E62</f>
        <v>35529.493999999999</v>
      </c>
      <c r="F52" s="117">
        <f>F49*F62</f>
        <v>60969.775510761559</v>
      </c>
      <c r="G52" s="117">
        <f>G49*G62</f>
        <v>84849.26449999999</v>
      </c>
    </row>
    <row r="53" spans="2:10" ht="18" customHeight="1" x14ac:dyDescent="0.2">
      <c r="B53" s="1400" t="s">
        <v>84</v>
      </c>
      <c r="C53" s="139">
        <f>(C52+4*C50+C51)/6</f>
        <v>14915.085972222223</v>
      </c>
      <c r="D53" s="139">
        <f>(D52+4*D50+D51)/6</f>
        <v>29221.775916666662</v>
      </c>
      <c r="E53" s="139">
        <f>(E52+4*E50+E51)/6</f>
        <v>76980.570333333337</v>
      </c>
      <c r="F53" s="139">
        <f>(F52+4*F50+F51)/6</f>
        <v>132101.18027331671</v>
      </c>
      <c r="G53" s="140">
        <f>(G52+4*G50+G51)/6</f>
        <v>183840.07308333332</v>
      </c>
      <c r="H53" t="s">
        <v>350</v>
      </c>
    </row>
    <row r="54" spans="2:10" x14ac:dyDescent="0.2">
      <c r="B54" s="129" t="s">
        <v>351</v>
      </c>
      <c r="C54" s="117">
        <f>(C51-C52)/6</f>
        <v>3441.9429166666669</v>
      </c>
      <c r="D54" s="117">
        <f>(D51-D52)/6</f>
        <v>6743.4867499999991</v>
      </c>
      <c r="E54" s="117">
        <f>(E51-E52)/6</f>
        <v>17764.746999999999</v>
      </c>
      <c r="F54" s="117">
        <f>(F51-F52)/6</f>
        <v>30484.88775538078</v>
      </c>
      <c r="G54" s="130">
        <f>(G51-G52)/6</f>
        <v>42424.632249999995</v>
      </c>
    </row>
    <row r="55" spans="2:10" x14ac:dyDescent="0.2">
      <c r="B55" s="129" t="s">
        <v>352</v>
      </c>
      <c r="C55" s="117">
        <f>C53/52</f>
        <v>286.82857638888891</v>
      </c>
      <c r="D55" s="117">
        <f>D53/52</f>
        <v>561.95722916666659</v>
      </c>
      <c r="E55" s="117">
        <f>E53/52</f>
        <v>1480.3955833333334</v>
      </c>
      <c r="F55" s="117">
        <f>F53/52</f>
        <v>2540.4073129483982</v>
      </c>
      <c r="G55" s="130">
        <f>G53/52</f>
        <v>3535.3860208333331</v>
      </c>
    </row>
    <row r="56" spans="2:10" ht="16" thickBot="1" x14ac:dyDescent="0.25">
      <c r="B56" s="131" t="s">
        <v>353</v>
      </c>
      <c r="C56" s="132">
        <f>C54/SQRT(52)</f>
        <v>477.31160281775942</v>
      </c>
      <c r="D56" s="132">
        <f>D54/SQRT(52)</f>
        <v>935.15335586680806</v>
      </c>
      <c r="E56" s="132">
        <f>E54/SQRT(52)</f>
        <v>2463.5271616978875</v>
      </c>
      <c r="F56" s="132">
        <f>F54/SQRT(52)</f>
        <v>4227.4933049534511</v>
      </c>
      <c r="G56" s="133">
        <f>G54/SQRT(52)</f>
        <v>5883.237958464546</v>
      </c>
    </row>
    <row r="58" spans="2:10" x14ac:dyDescent="0.2">
      <c r="C58" s="1819" t="s">
        <v>188</v>
      </c>
      <c r="D58" s="1819"/>
      <c r="E58" s="1819"/>
      <c r="F58" s="1819"/>
      <c r="G58" s="1819"/>
    </row>
    <row r="59" spans="2:10" x14ac:dyDescent="0.2">
      <c r="B59" s="188" t="s">
        <v>354</v>
      </c>
      <c r="C59" s="1068">
        <v>1</v>
      </c>
      <c r="D59" s="1068">
        <v>2</v>
      </c>
      <c r="E59" s="1068">
        <v>3</v>
      </c>
      <c r="F59" s="1068">
        <v>4</v>
      </c>
      <c r="G59" s="1068">
        <v>5</v>
      </c>
    </row>
    <row r="60" spans="2:10" x14ac:dyDescent="0.2">
      <c r="B60" t="s">
        <v>315</v>
      </c>
      <c r="C60" s="134">
        <v>2</v>
      </c>
      <c r="D60" s="134">
        <v>2</v>
      </c>
      <c r="E60" s="134">
        <v>2</v>
      </c>
      <c r="F60" s="134">
        <v>2</v>
      </c>
      <c r="G60" s="134">
        <v>2</v>
      </c>
      <c r="H60" s="52"/>
      <c r="I60" s="52"/>
      <c r="J60" s="52"/>
    </row>
    <row r="61" spans="2:10" x14ac:dyDescent="0.2">
      <c r="B61" t="s">
        <v>314</v>
      </c>
      <c r="C61" s="134">
        <v>1</v>
      </c>
      <c r="D61" s="134">
        <v>1</v>
      </c>
      <c r="E61" s="134">
        <v>1</v>
      </c>
      <c r="F61" s="134">
        <v>1</v>
      </c>
      <c r="G61" s="134">
        <v>1</v>
      </c>
      <c r="H61" s="52"/>
      <c r="I61" s="52"/>
      <c r="J61" s="52"/>
    </row>
    <row r="62" spans="2:10" x14ac:dyDescent="0.2">
      <c r="B62" t="s">
        <v>355</v>
      </c>
      <c r="C62" s="134">
        <v>0.5</v>
      </c>
      <c r="D62" s="134">
        <v>0.5</v>
      </c>
      <c r="E62" s="134">
        <v>0.5</v>
      </c>
      <c r="F62" s="134">
        <v>0.5</v>
      </c>
      <c r="G62" s="134">
        <v>0.5</v>
      </c>
      <c r="H62" s="52"/>
      <c r="I62" s="52"/>
      <c r="J62" s="52"/>
    </row>
    <row r="65" spans="2:12" x14ac:dyDescent="0.2">
      <c r="B65" s="1807" t="s">
        <v>356</v>
      </c>
      <c r="C65" s="1807"/>
      <c r="D65" s="1807"/>
      <c r="E65" s="1807"/>
      <c r="F65" s="1807"/>
      <c r="G65" s="1807"/>
      <c r="H65" t="s">
        <v>357</v>
      </c>
    </row>
    <row r="66" spans="2:12" x14ac:dyDescent="0.2">
      <c r="B66" s="1398" t="s">
        <v>268</v>
      </c>
      <c r="C66" s="188">
        <v>1</v>
      </c>
      <c r="D66" s="188">
        <f>C66+1</f>
        <v>2</v>
      </c>
      <c r="E66" s="188">
        <f>D66+1</f>
        <v>3</v>
      </c>
      <c r="F66" s="188">
        <f>E66+1</f>
        <v>4</v>
      </c>
      <c r="G66" s="188">
        <f>F66+1</f>
        <v>5</v>
      </c>
      <c r="H66" s="7"/>
      <c r="L66" s="52"/>
    </row>
    <row r="67" spans="2:12" x14ac:dyDescent="0.2">
      <c r="B67" s="777" t="s">
        <v>348</v>
      </c>
      <c r="C67" s="632">
        <f>'MK Bases Model (Base Case)'!C15/(1-C10)</f>
        <v>13769.64586846543</v>
      </c>
      <c r="D67" s="632">
        <f>'MK Bases Model (Base Case)'!D15/(1-D10)</f>
        <v>26973.973973973974</v>
      </c>
      <c r="E67" s="632">
        <f>'MK Bases Model (Base Case)'!E15/(1-E10)</f>
        <v>71059.059059059058</v>
      </c>
      <c r="F67" s="632">
        <f>'MK Bases Model (Base Case)'!F15/(1-F10)</f>
        <v>121939.67296119609</v>
      </c>
      <c r="G67" s="632">
        <f>'MK Bases Model (Base Case)'!G15/(1-G10)</f>
        <v>169698.69869869869</v>
      </c>
      <c r="H67" s="7"/>
      <c r="L67" s="52"/>
    </row>
    <row r="68" spans="2:12" x14ac:dyDescent="0.2">
      <c r="E68" s="764"/>
    </row>
    <row r="69" spans="2:12" x14ac:dyDescent="0.2">
      <c r="B69" t="s">
        <v>358</v>
      </c>
      <c r="C69" s="150">
        <f>'OM $ Raw Material '!$F$16+'OM $ Raw Material '!$F$26</f>
        <v>15.18403079434338</v>
      </c>
      <c r="D69" s="150">
        <f>'OM $ Raw Material '!$F$16+'OM $ Raw Material '!$F$26</f>
        <v>15.18403079434338</v>
      </c>
      <c r="E69" s="150">
        <f>'OM $ Raw Material '!$F$16+'OM $ Raw Material '!$F$26</f>
        <v>15.18403079434338</v>
      </c>
      <c r="F69" s="150">
        <f>'OM $ Raw Material '!$F$16+'OM $ Raw Material '!$F$26</f>
        <v>15.18403079434338</v>
      </c>
      <c r="G69" s="150">
        <f>'OM $ Raw Material '!$F$16+'OM $ Raw Material '!$F$26</f>
        <v>15.18403079434338</v>
      </c>
    </row>
    <row r="70" spans="2:12" x14ac:dyDescent="0.2">
      <c r="B70" t="s">
        <v>359</v>
      </c>
      <c r="C70" s="150">
        <f>'OM Labor'!D13</f>
        <v>2.704476666666666</v>
      </c>
      <c r="D70" s="150">
        <f>'OM Labor'!E13</f>
        <v>3.2475948683322082</v>
      </c>
      <c r="E70" s="150">
        <f>'OM Labor'!F13</f>
        <v>2.9929788786853559</v>
      </c>
      <c r="F70" s="150">
        <f>'OM Labor'!G13</f>
        <v>3.0827682450459162</v>
      </c>
      <c r="G70" s="150">
        <f>'OM Labor'!H13</f>
        <v>3.1752512923972946</v>
      </c>
    </row>
    <row r="71" spans="2:12" x14ac:dyDescent="0.2">
      <c r="B71" t="s">
        <v>360</v>
      </c>
      <c r="C71" s="150">
        <f>'OM MOH'!E19</f>
        <v>12.485983007193713</v>
      </c>
      <c r="D71" s="150">
        <f>'OM MOH'!F19</f>
        <v>8.1515746024231355</v>
      </c>
      <c r="E71" s="150">
        <f>'OM MOH'!G19</f>
        <v>3.137539910995117</v>
      </c>
      <c r="F71" s="150">
        <f>'OM MOH'!H19</f>
        <v>1.8570397809421535</v>
      </c>
      <c r="G71" s="150">
        <f>'OM MOH'!I19</f>
        <v>1.3521181824736999</v>
      </c>
    </row>
    <row r="72" spans="2:12" x14ac:dyDescent="0.2">
      <c r="C72" s="150"/>
      <c r="D72" s="150"/>
      <c r="E72" s="150"/>
      <c r="F72" s="150"/>
      <c r="G72" s="150"/>
    </row>
    <row r="73" spans="2:12" x14ac:dyDescent="0.2">
      <c r="B73" t="s">
        <v>361</v>
      </c>
      <c r="C73" s="150">
        <f>SUM(C69:C71)</f>
        <v>30.37449046820376</v>
      </c>
      <c r="D73" s="150">
        <f>SUM(D69:D71)</f>
        <v>26.583200265098725</v>
      </c>
      <c r="E73" s="150">
        <f>SUM(E69:E71)</f>
        <v>21.314549584023851</v>
      </c>
      <c r="F73" s="150">
        <f>SUM(F69:F71)</f>
        <v>20.12383882033145</v>
      </c>
      <c r="G73" s="150">
        <f>SUM(G69:G71)</f>
        <v>19.711400269214373</v>
      </c>
    </row>
    <row r="74" spans="2:12" x14ac:dyDescent="0.2">
      <c r="C74" s="150"/>
      <c r="D74" s="150"/>
      <c r="E74" s="150"/>
      <c r="F74" s="150"/>
      <c r="G74" s="150"/>
    </row>
    <row r="75" spans="2:12" x14ac:dyDescent="0.2">
      <c r="B75" s="137" t="s">
        <v>362</v>
      </c>
      <c r="C75" s="778">
        <f>ROUND(C73*C67,2)</f>
        <v>418245.98</v>
      </c>
      <c r="D75" s="778">
        <f>ROUND(D73*D67,2)</f>
        <v>717054.55</v>
      </c>
      <c r="E75" s="778">
        <f>ROUND(E73*E67,2)</f>
        <v>1514591.84</v>
      </c>
      <c r="F75" s="778">
        <f>ROUND(F73*F67,2)</f>
        <v>2453894.3199999998</v>
      </c>
      <c r="G75" s="778">
        <f>ROUND(G73*G67,2)</f>
        <v>3344998.98</v>
      </c>
    </row>
    <row r="76" spans="2:12" x14ac:dyDescent="0.2">
      <c r="D76">
        <f>IF(D75='FE Income Statement'!F9,1,0)</f>
        <v>0</v>
      </c>
    </row>
    <row r="77" spans="2:12" x14ac:dyDescent="0.2">
      <c r="B77" s="1807" t="s">
        <v>363</v>
      </c>
      <c r="C77" s="1807"/>
      <c r="D77" s="1807"/>
      <c r="E77" s="1807"/>
      <c r="F77" s="1807"/>
      <c r="G77" s="1807"/>
    </row>
    <row r="78" spans="2:12" x14ac:dyDescent="0.2">
      <c r="B78" s="1807" t="s">
        <v>364</v>
      </c>
      <c r="C78" s="1807"/>
      <c r="D78" s="1807"/>
      <c r="E78" s="1807"/>
      <c r="F78" s="1807"/>
      <c r="G78" s="1807"/>
      <c r="H78" t="s">
        <v>365</v>
      </c>
    </row>
    <row r="79" spans="2:12" x14ac:dyDescent="0.2">
      <c r="C79" t="s">
        <v>41</v>
      </c>
      <c r="D79" t="s">
        <v>42</v>
      </c>
      <c r="E79" t="s">
        <v>43</v>
      </c>
      <c r="F79" t="s">
        <v>44</v>
      </c>
      <c r="G79" t="s">
        <v>45</v>
      </c>
    </row>
    <row r="80" spans="2:12" x14ac:dyDescent="0.2">
      <c r="B80" t="s">
        <v>348</v>
      </c>
      <c r="C80">
        <f>'MK Bases Model (Base Case)'!C15</f>
        <v>13609</v>
      </c>
      <c r="D80">
        <f>'MK Bases Model (Base Case)'!D15</f>
        <v>26947</v>
      </c>
      <c r="E80">
        <f>'MK Bases Model (Base Case)'!E15</f>
        <v>70988</v>
      </c>
      <c r="F80">
        <f>'MK Bases Model (Base Case)'!F15</f>
        <v>121817.7332882349</v>
      </c>
      <c r="G80">
        <f>'MK Bases Model (Base Case)'!G15</f>
        <v>169529</v>
      </c>
    </row>
    <row r="81" spans="2:9" x14ac:dyDescent="0.2">
      <c r="B81" t="s">
        <v>366</v>
      </c>
      <c r="C81">
        <v>78</v>
      </c>
      <c r="D81">
        <v>78</v>
      </c>
      <c r="E81">
        <v>78</v>
      </c>
      <c r="F81">
        <v>78</v>
      </c>
      <c r="G81">
        <v>78</v>
      </c>
    </row>
    <row r="82" spans="2:9" ht="16" thickBot="1" x14ac:dyDescent="0.25">
      <c r="B82" s="1349" t="s">
        <v>367</v>
      </c>
      <c r="C82" s="1350">
        <f>C80/C81</f>
        <v>174.47435897435898</v>
      </c>
      <c r="D82" s="1350">
        <f>D80/D81</f>
        <v>345.47435897435895</v>
      </c>
      <c r="E82" s="1350">
        <f>E80/E81</f>
        <v>910.10256410256409</v>
      </c>
      <c r="F82" s="1350">
        <f>F80/F81</f>
        <v>1561.7658113876269</v>
      </c>
      <c r="G82" s="1350">
        <f>G80/G81</f>
        <v>2173.4487179487178</v>
      </c>
    </row>
    <row r="83" spans="2:9" x14ac:dyDescent="0.2">
      <c r="B83" t="s">
        <v>368</v>
      </c>
      <c r="C83">
        <v>0.1</v>
      </c>
      <c r="D83">
        <v>0.1</v>
      </c>
      <c r="E83">
        <v>0.1</v>
      </c>
      <c r="F83">
        <v>0.1</v>
      </c>
      <c r="G83">
        <v>0.1</v>
      </c>
    </row>
    <row r="84" spans="2:9" ht="16" thickBot="1" x14ac:dyDescent="0.25">
      <c r="B84" s="1349" t="s">
        <v>369</v>
      </c>
      <c r="C84" s="486">
        <f>C82*C83</f>
        <v>17.447435897435899</v>
      </c>
      <c r="D84" s="486">
        <f>D82*D83</f>
        <v>34.547435897435896</v>
      </c>
      <c r="E84" s="486">
        <f>E82*E83</f>
        <v>91.010256410256417</v>
      </c>
      <c r="F84" s="486">
        <f>F82*F83</f>
        <v>156.17658113876269</v>
      </c>
      <c r="G84" s="486">
        <f>G82*G83</f>
        <v>217.34487179487178</v>
      </c>
    </row>
    <row r="87" spans="2:9" x14ac:dyDescent="0.2">
      <c r="C87" s="1807" t="s">
        <v>188</v>
      </c>
      <c r="D87" s="1807"/>
      <c r="E87" s="1807"/>
      <c r="F87" s="1807"/>
      <c r="G87" s="1807"/>
      <c r="H87" s="1807"/>
    </row>
    <row r="88" spans="2:9" x14ac:dyDescent="0.2">
      <c r="B88" s="188" t="s">
        <v>370</v>
      </c>
      <c r="C88" s="1402">
        <v>0</v>
      </c>
      <c r="D88" s="1402">
        <v>1</v>
      </c>
      <c r="E88" s="1402">
        <v>2</v>
      </c>
      <c r="F88" s="1402">
        <v>3</v>
      </c>
      <c r="G88" s="1402">
        <v>4</v>
      </c>
      <c r="H88" s="1402">
        <v>5</v>
      </c>
      <c r="I88" t="s">
        <v>371</v>
      </c>
    </row>
    <row r="89" spans="2:9" ht="16" x14ac:dyDescent="0.2">
      <c r="B89" s="718" t="s">
        <v>372</v>
      </c>
      <c r="C89" s="768">
        <v>21964</v>
      </c>
      <c r="D89" s="767" t="s">
        <v>373</v>
      </c>
      <c r="E89" s="370"/>
      <c r="F89" s="370"/>
      <c r="G89" s="370"/>
      <c r="H89" s="370"/>
    </row>
    <row r="90" spans="2:9" ht="16" x14ac:dyDescent="0.2">
      <c r="B90" s="302" t="s">
        <v>374</v>
      </c>
      <c r="C90" s="768">
        <v>2675</v>
      </c>
      <c r="D90" s="767" t="s">
        <v>373</v>
      </c>
      <c r="E90" s="370"/>
      <c r="F90" s="370"/>
      <c r="G90" s="370"/>
      <c r="H90" s="370"/>
    </row>
    <row r="91" spans="2:9" ht="16" x14ac:dyDescent="0.2">
      <c r="B91" s="718" t="s">
        <v>375</v>
      </c>
      <c r="C91" s="766">
        <v>6.25</v>
      </c>
      <c r="D91" s="767" t="s">
        <v>376</v>
      </c>
      <c r="E91" s="370"/>
      <c r="F91" s="370"/>
      <c r="G91" s="370"/>
      <c r="H91" s="370"/>
    </row>
    <row r="92" spans="2:9" ht="16" x14ac:dyDescent="0.2">
      <c r="B92" s="718" t="s">
        <v>377</v>
      </c>
      <c r="C92" s="765">
        <v>20</v>
      </c>
      <c r="D92" s="370"/>
      <c r="E92" s="370"/>
      <c r="F92" s="370"/>
      <c r="G92" s="370"/>
      <c r="H92" s="370"/>
    </row>
    <row r="93" spans="2:9" x14ac:dyDescent="0.2">
      <c r="B93" s="79" t="s">
        <v>378</v>
      </c>
      <c r="C93" s="9">
        <v>2.33</v>
      </c>
      <c r="D93" s="40">
        <f>C93*'OM Assumptions'!C90</f>
        <v>6232.75</v>
      </c>
    </row>
    <row r="94" spans="2:9" ht="16" x14ac:dyDescent="0.2">
      <c r="B94" s="718" t="s">
        <v>379</v>
      </c>
      <c r="C94" s="375"/>
      <c r="D94" s="370"/>
      <c r="E94" s="370"/>
      <c r="F94" s="370"/>
      <c r="G94" s="370"/>
      <c r="H94" s="370"/>
    </row>
    <row r="95" spans="2:9" ht="16" x14ac:dyDescent="0.2">
      <c r="B95" s="952" t="s">
        <v>380</v>
      </c>
      <c r="C95" s="14">
        <v>0.05</v>
      </c>
      <c r="D95" s="767" t="s">
        <v>373</v>
      </c>
      <c r="E95" s="370"/>
      <c r="F95" s="370"/>
      <c r="G95" s="370"/>
      <c r="H95" s="370"/>
    </row>
    <row r="96" spans="2:9" ht="16" x14ac:dyDescent="0.2">
      <c r="B96" s="952" t="s">
        <v>381</v>
      </c>
      <c r="C96" s="375">
        <v>6</v>
      </c>
      <c r="D96" s="370"/>
      <c r="E96" s="370"/>
      <c r="F96" s="370"/>
      <c r="G96" s="370"/>
      <c r="H96" s="370"/>
    </row>
    <row r="97" spans="2:10" ht="16" x14ac:dyDescent="0.2">
      <c r="B97" s="952" t="s">
        <v>382</v>
      </c>
      <c r="C97" s="375">
        <v>24.16</v>
      </c>
      <c r="D97" s="375">
        <v>24.16</v>
      </c>
      <c r="E97" s="375">
        <f>D97+(1+'FE Assumptions'!$C$114)</f>
        <v>25.19</v>
      </c>
      <c r="F97" s="375">
        <f>E97+(1+'FE Assumptions'!$C$114)</f>
        <v>26.220000000000002</v>
      </c>
      <c r="G97" s="375">
        <f>F97+(1+'FE Assumptions'!$C$114)</f>
        <v>27.250000000000004</v>
      </c>
      <c r="H97" s="375">
        <f>G97+(1+'FE Assumptions'!$C$114)</f>
        <v>28.280000000000005</v>
      </c>
    </row>
    <row r="98" spans="2:10" ht="16" x14ac:dyDescent="0.2">
      <c r="B98" s="952" t="s">
        <v>383</v>
      </c>
      <c r="C98" s="375">
        <v>130</v>
      </c>
      <c r="D98" s="370"/>
      <c r="E98" s="370"/>
      <c r="F98" s="370"/>
      <c r="G98" s="370"/>
      <c r="H98" s="370"/>
    </row>
    <row r="99" spans="2:10" ht="16" x14ac:dyDescent="0.2">
      <c r="B99" s="952" t="s">
        <v>157</v>
      </c>
      <c r="D99" s="20">
        <v>0.2</v>
      </c>
      <c r="E99" s="20">
        <v>0.2</v>
      </c>
      <c r="F99" s="20">
        <v>0.2</v>
      </c>
      <c r="G99" s="20">
        <v>0.2</v>
      </c>
      <c r="H99" s="20">
        <v>0.2</v>
      </c>
    </row>
    <row r="102" spans="2:10" x14ac:dyDescent="0.2">
      <c r="B102" s="1068" t="s">
        <v>384</v>
      </c>
      <c r="C102" s="1068">
        <v>1</v>
      </c>
      <c r="D102" s="1068">
        <v>2</v>
      </c>
      <c r="E102" s="1068">
        <v>3</v>
      </c>
      <c r="F102" s="1068">
        <v>4</v>
      </c>
      <c r="G102" s="1068">
        <v>5</v>
      </c>
      <c r="H102" t="s">
        <v>385</v>
      </c>
    </row>
    <row r="103" spans="2:10" x14ac:dyDescent="0.2">
      <c r="B103" s="5"/>
      <c r="C103" s="102">
        <v>2400</v>
      </c>
      <c r="D103" s="102">
        <v>2400</v>
      </c>
      <c r="E103" s="102">
        <v>3600</v>
      </c>
      <c r="F103" s="102">
        <v>6000</v>
      </c>
      <c r="G103" s="119">
        <v>0</v>
      </c>
    </row>
    <row r="104" spans="2:10" x14ac:dyDescent="0.2">
      <c r="H104" s="119"/>
    </row>
    <row r="105" spans="2:10" x14ac:dyDescent="0.2">
      <c r="B105" s="1807" t="s">
        <v>386</v>
      </c>
      <c r="C105" s="1807"/>
      <c r="D105" s="1807"/>
      <c r="E105" s="1807"/>
      <c r="F105" s="1807"/>
      <c r="G105" s="1807"/>
      <c r="H105" s="1807"/>
      <c r="I105" s="1807"/>
      <c r="J105" t="s">
        <v>387</v>
      </c>
    </row>
    <row r="106" spans="2:10" x14ac:dyDescent="0.2">
      <c r="B106" s="1401" t="s">
        <v>388</v>
      </c>
      <c r="C106" s="1051" t="s">
        <v>389</v>
      </c>
      <c r="D106" s="1401"/>
      <c r="E106" s="1401"/>
      <c r="F106" s="1401"/>
      <c r="G106" s="1401"/>
      <c r="H106" s="1401"/>
      <c r="I106" s="1401"/>
    </row>
    <row r="107" spans="2:10" x14ac:dyDescent="0.2">
      <c r="B107" t="s">
        <v>390</v>
      </c>
      <c r="E107">
        <v>1</v>
      </c>
      <c r="F107">
        <v>2</v>
      </c>
      <c r="G107">
        <v>2</v>
      </c>
      <c r="H107">
        <v>3</v>
      </c>
      <c r="I107">
        <v>3</v>
      </c>
    </row>
    <row r="108" spans="2:10" x14ac:dyDescent="0.2">
      <c r="B108" t="s">
        <v>391</v>
      </c>
      <c r="E108">
        <v>8</v>
      </c>
      <c r="F108">
        <v>8</v>
      </c>
      <c r="G108">
        <v>8</v>
      </c>
      <c r="H108">
        <v>8</v>
      </c>
      <c r="I108">
        <v>8</v>
      </c>
    </row>
    <row r="110" spans="2:10" x14ac:dyDescent="0.2">
      <c r="B110" t="s">
        <v>392</v>
      </c>
      <c r="C110" s="597">
        <f>20.4*(1+0.75)</f>
        <v>35.699999999999996</v>
      </c>
      <c r="E110" s="95">
        <f>C110</f>
        <v>35.699999999999996</v>
      </c>
      <c r="F110" s="95">
        <f>E110*1.03</f>
        <v>36.770999999999994</v>
      </c>
      <c r="G110" s="95">
        <f>F110*1.03</f>
        <v>37.874129999999994</v>
      </c>
      <c r="H110" s="95">
        <f>G110*1.03</f>
        <v>39.010353899999991</v>
      </c>
      <c r="I110" s="95">
        <f>H110*1.03</f>
        <v>40.18066451699999</v>
      </c>
    </row>
    <row r="111" spans="2:10" x14ac:dyDescent="0.2">
      <c r="I111" s="233"/>
    </row>
    <row r="112" spans="2:10" x14ac:dyDescent="0.2">
      <c r="I112" s="233"/>
    </row>
    <row r="113" spans="9:9" x14ac:dyDescent="0.2">
      <c r="I113" s="233"/>
    </row>
    <row r="114" spans="9:9" x14ac:dyDescent="0.2">
      <c r="I114" s="233"/>
    </row>
    <row r="115" spans="9:9" x14ac:dyDescent="0.2">
      <c r="I115" s="233"/>
    </row>
    <row r="116" spans="9:9" x14ac:dyDescent="0.2">
      <c r="I116" s="56" t="s">
        <v>393</v>
      </c>
    </row>
  </sheetData>
  <mergeCells count="13">
    <mergeCell ref="B105:I105"/>
    <mergeCell ref="B77:G77"/>
    <mergeCell ref="B2:J2"/>
    <mergeCell ref="C32:G32"/>
    <mergeCell ref="C47:G47"/>
    <mergeCell ref="C58:G58"/>
    <mergeCell ref="C87:H87"/>
    <mergeCell ref="B4:G4"/>
    <mergeCell ref="B8:G8"/>
    <mergeCell ref="B13:H13"/>
    <mergeCell ref="B46:G46"/>
    <mergeCell ref="B65:G65"/>
    <mergeCell ref="B78:G78"/>
  </mergeCells>
  <hyperlinks>
    <hyperlink ref="I116" r:id="rId1" xr:uid="{5084FBCE-5FC0-6947-84B9-00A35A145436}"/>
    <hyperlink ref="B1" location="Index!A1" display="Back to Index" xr:uid="{9C40E90C-1C33-4752-AB7E-2F103211C16F}"/>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E6174-1D75-284D-BE03-E2ECB59EE67C}">
  <sheetPr published="0">
    <tabColor rgb="FFFF0000"/>
  </sheetPr>
  <dimension ref="B1:D12"/>
  <sheetViews>
    <sheetView showGridLines="0" workbookViewId="0">
      <selection activeCell="C10" sqref="C10"/>
    </sheetView>
  </sheetViews>
  <sheetFormatPr baseColWidth="10" defaultColWidth="10.83203125" defaultRowHeight="15" x14ac:dyDescent="0.2"/>
  <cols>
    <col min="1" max="1" width="1.83203125" customWidth="1"/>
    <col min="2" max="2" width="27.33203125" customWidth="1"/>
    <col min="3" max="3" width="13" customWidth="1"/>
    <col min="4" max="4" width="81.1640625" customWidth="1"/>
  </cols>
  <sheetData>
    <row r="1" spans="2:4" x14ac:dyDescent="0.2">
      <c r="B1" s="56" t="s">
        <v>37</v>
      </c>
    </row>
    <row r="3" spans="2:4" x14ac:dyDescent="0.2">
      <c r="B3" s="1818" t="s">
        <v>394</v>
      </c>
      <c r="C3" s="1818"/>
      <c r="D3" s="1818"/>
    </row>
    <row r="5" spans="2:4" x14ac:dyDescent="0.2">
      <c r="B5" s="1820" t="s">
        <v>395</v>
      </c>
      <c r="C5" s="1820"/>
      <c r="D5" s="1820"/>
    </row>
    <row r="6" spans="2:4" x14ac:dyDescent="0.2">
      <c r="B6" s="52" t="s">
        <v>396</v>
      </c>
      <c r="C6" s="52" t="s">
        <v>397</v>
      </c>
      <c r="D6" s="52" t="s">
        <v>398</v>
      </c>
    </row>
    <row r="7" spans="2:4" x14ac:dyDescent="0.2">
      <c r="B7" t="s">
        <v>399</v>
      </c>
      <c r="C7" s="59">
        <v>5149</v>
      </c>
      <c r="D7" t="s">
        <v>400</v>
      </c>
    </row>
    <row r="8" spans="2:4" x14ac:dyDescent="0.2">
      <c r="B8" t="s">
        <v>401</v>
      </c>
      <c r="C8" s="59">
        <f>'OM Information Systems Expenses'!E34+'OM Information Systems Expenses'!E18+'OM Information Systems Expenses'!E22+'OM SG&amp;A'!D31</f>
        <v>72926.633333333331</v>
      </c>
      <c r="D8" t="s">
        <v>402</v>
      </c>
    </row>
    <row r="9" spans="2:4" x14ac:dyDescent="0.2">
      <c r="B9" t="s">
        <v>403</v>
      </c>
      <c r="C9" s="1358">
        <f>'OM MOH'!D14</f>
        <v>22879.166666666668</v>
      </c>
      <c r="D9" t="s">
        <v>1456</v>
      </c>
    </row>
    <row r="10" spans="2:4" x14ac:dyDescent="0.2">
      <c r="B10" t="s">
        <v>404</v>
      </c>
      <c r="C10" s="1352">
        <f>'FE Assumptions'!C19</f>
        <v>20000</v>
      </c>
      <c r="D10" t="s">
        <v>405</v>
      </c>
    </row>
    <row r="11" spans="2:4" ht="16" thickBot="1" x14ac:dyDescent="0.25">
      <c r="B11" s="1355" t="s">
        <v>406</v>
      </c>
      <c r="C11" s="1359">
        <f>SUM(C7:C10)</f>
        <v>120954.8</v>
      </c>
      <c r="D11" s="1355"/>
    </row>
    <row r="12" spans="2:4" ht="16" thickTop="1" x14ac:dyDescent="0.2"/>
  </sheetData>
  <mergeCells count="2">
    <mergeCell ref="B5:D5"/>
    <mergeCell ref="B3:D3"/>
  </mergeCells>
  <hyperlinks>
    <hyperlink ref="B1" location="Index!A1" display="Back to Index" xr:uid="{1D4BE96A-C168-477B-8EB2-A4FC6C1E2CF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0A415-871E-4742-98B0-66F07C3EBDF8}">
  <sheetPr published="0">
    <tabColor rgb="FFFF0000"/>
  </sheetPr>
  <dimension ref="B1:O52"/>
  <sheetViews>
    <sheetView showGridLines="0" topLeftCell="B1" zoomScale="93" zoomScaleNormal="55" workbookViewId="0">
      <pane ySplit="5" topLeftCell="A13" activePane="bottomLeft" state="frozen"/>
      <selection pane="bottomLeft" activeCell="F18" sqref="F18"/>
    </sheetView>
  </sheetViews>
  <sheetFormatPr baseColWidth="10" defaultColWidth="11.5" defaultRowHeight="15" x14ac:dyDescent="0.2"/>
  <cols>
    <col min="1" max="1" width="1.83203125" customWidth="1"/>
    <col min="2" max="2" width="32.5" customWidth="1"/>
    <col min="3" max="3" width="12" customWidth="1"/>
    <col min="4" max="4" width="4" customWidth="1"/>
    <col min="6" max="6" width="10.5" customWidth="1"/>
    <col min="14" max="14" width="18.1640625" customWidth="1"/>
  </cols>
  <sheetData>
    <row r="1" spans="2:15" x14ac:dyDescent="0.2">
      <c r="B1" s="56" t="s">
        <v>37</v>
      </c>
    </row>
    <row r="3" spans="2:15" x14ac:dyDescent="0.2">
      <c r="B3" s="1818" t="s">
        <v>13</v>
      </c>
      <c r="C3" s="1818"/>
      <c r="D3" s="1818"/>
      <c r="E3" s="1818"/>
      <c r="F3" s="1818"/>
      <c r="G3" s="1818"/>
      <c r="H3" s="1818"/>
      <c r="I3" s="1818"/>
      <c r="J3" s="1818"/>
      <c r="K3" s="1818"/>
    </row>
    <row r="5" spans="2:15" x14ac:dyDescent="0.2">
      <c r="B5" s="1398" t="s">
        <v>188</v>
      </c>
      <c r="C5" s="1398"/>
      <c r="D5" s="1398"/>
      <c r="E5" s="188">
        <v>0</v>
      </c>
      <c r="F5" s="188">
        <f>E5+1</f>
        <v>1</v>
      </c>
      <c r="G5" s="188">
        <f t="shared" ref="G5:I5" si="0">F5+1</f>
        <v>2</v>
      </c>
      <c r="H5" s="188">
        <f t="shared" si="0"/>
        <v>3</v>
      </c>
      <c r="I5" s="188">
        <f t="shared" si="0"/>
        <v>4</v>
      </c>
      <c r="J5" s="188">
        <v>5</v>
      </c>
      <c r="K5" s="1474"/>
    </row>
    <row r="6" spans="2:15" x14ac:dyDescent="0.2">
      <c r="B6" s="992"/>
      <c r="C6" s="992"/>
      <c r="D6" s="992"/>
      <c r="E6" s="7"/>
      <c r="F6" s="7"/>
      <c r="G6" s="7"/>
      <c r="H6" s="7"/>
      <c r="I6" s="7"/>
      <c r="J6" s="7"/>
      <c r="K6" s="995"/>
    </row>
    <row r="7" spans="2:15" x14ac:dyDescent="0.2">
      <c r="B7" s="996" t="s">
        <v>407</v>
      </c>
      <c r="C7" s="997"/>
      <c r="D7" s="997"/>
      <c r="E7" s="998"/>
      <c r="F7" s="1315">
        <f>'OM Labor'!D7+'OM SG&amp;A'!E32</f>
        <v>3</v>
      </c>
      <c r="G7" s="1315">
        <f>'OM Labor'!E7+'OM SG&amp;A'!F32</f>
        <v>4</v>
      </c>
      <c r="H7" s="1315">
        <f>'OM Labor'!F7+'OM SG&amp;A'!G32</f>
        <v>8</v>
      </c>
      <c r="I7" s="1315">
        <f>'OM Labor'!G7+'OM SG&amp;A'!H32</f>
        <v>13</v>
      </c>
      <c r="J7" s="1315">
        <f>'OM Labor'!H7+'OM SG&amp;A'!I32</f>
        <v>13</v>
      </c>
      <c r="K7" s="1000"/>
    </row>
    <row r="8" spans="2:15" x14ac:dyDescent="0.2">
      <c r="B8" s="992"/>
      <c r="C8" s="992"/>
      <c r="D8" s="992"/>
      <c r="E8" s="993"/>
      <c r="F8" s="994"/>
      <c r="G8" s="994"/>
      <c r="H8" s="994"/>
      <c r="I8" s="994"/>
      <c r="J8" s="994"/>
      <c r="K8" s="995"/>
    </row>
    <row r="9" spans="2:15" x14ac:dyDescent="0.2">
      <c r="B9" s="996" t="s">
        <v>408</v>
      </c>
      <c r="C9" s="997" t="s">
        <v>409</v>
      </c>
      <c r="D9" s="997"/>
      <c r="E9" s="998"/>
      <c r="F9" s="999"/>
      <c r="G9" s="999"/>
      <c r="H9" s="999"/>
      <c r="I9" s="999"/>
      <c r="J9" s="999"/>
      <c r="K9" s="1000"/>
    </row>
    <row r="10" spans="2:15" x14ac:dyDescent="0.2">
      <c r="B10" s="5"/>
      <c r="C10" s="1377"/>
      <c r="D10" s="1377"/>
      <c r="E10" s="219"/>
      <c r="F10" s="219"/>
      <c r="G10" s="219"/>
      <c r="H10" s="219"/>
      <c r="I10" s="219"/>
      <c r="J10" s="219"/>
      <c r="K10" s="96"/>
      <c r="O10" s="33"/>
    </row>
    <row r="11" spans="2:15" ht="16" customHeight="1" x14ac:dyDescent="0.2">
      <c r="B11" t="s">
        <v>410</v>
      </c>
      <c r="C11" s="8"/>
      <c r="D11" s="8"/>
      <c r="E11" s="1380">
        <v>5000</v>
      </c>
      <c r="F11" s="219"/>
      <c r="G11" s="219"/>
      <c r="H11" s="219"/>
      <c r="I11" s="219"/>
      <c r="J11" s="219"/>
      <c r="K11" s="96"/>
    </row>
    <row r="12" spans="2:15" x14ac:dyDescent="0.2">
      <c r="B12" t="s">
        <v>411</v>
      </c>
      <c r="C12" s="8">
        <v>349.99</v>
      </c>
      <c r="D12" s="8"/>
      <c r="E12" s="219">
        <f>C12*'OM SG&amp;A'!D36</f>
        <v>699.98</v>
      </c>
      <c r="F12" s="219"/>
      <c r="G12" s="219"/>
      <c r="H12" s="219">
        <v>699.98</v>
      </c>
      <c r="I12" s="219"/>
      <c r="J12" s="219"/>
      <c r="K12" s="96"/>
      <c r="M12" s="56" t="s">
        <v>412</v>
      </c>
    </row>
    <row r="13" spans="2:15" x14ac:dyDescent="0.2">
      <c r="B13" t="s">
        <v>413</v>
      </c>
      <c r="C13" s="8">
        <v>407.97</v>
      </c>
      <c r="D13" s="8"/>
      <c r="E13" s="219">
        <f>C13</f>
        <v>407.97</v>
      </c>
      <c r="F13" s="219"/>
      <c r="G13" s="219"/>
      <c r="H13" s="219">
        <f>C13</f>
        <v>407.97</v>
      </c>
      <c r="I13" s="219"/>
      <c r="J13" s="219"/>
      <c r="K13" s="96"/>
      <c r="M13" s="56" t="s">
        <v>414</v>
      </c>
    </row>
    <row r="14" spans="2:15" x14ac:dyDescent="0.2">
      <c r="B14" t="s">
        <v>415</v>
      </c>
      <c r="C14" s="8"/>
      <c r="D14" s="8"/>
      <c r="E14" s="219">
        <v>350</v>
      </c>
      <c r="F14" s="219"/>
      <c r="G14" s="219"/>
      <c r="H14" s="219"/>
      <c r="I14" s="219"/>
      <c r="J14" s="219"/>
      <c r="K14" s="96"/>
      <c r="M14" s="56"/>
    </row>
    <row r="15" spans="2:15" x14ac:dyDescent="0.2">
      <c r="B15" t="s">
        <v>416</v>
      </c>
      <c r="C15" s="8">
        <v>130</v>
      </c>
      <c r="D15" s="8"/>
      <c r="E15" s="219">
        <f>$C$15*'OM SG&amp;A'!D36</f>
        <v>260</v>
      </c>
      <c r="F15" s="219">
        <f>$C$15*'OM SG&amp;A'!E36</f>
        <v>130</v>
      </c>
      <c r="G15" s="219">
        <f>$C$15*'OM SG&amp;A'!F36</f>
        <v>0</v>
      </c>
      <c r="H15" s="219">
        <f>$C$15*'OM SG&amp;A'!G36</f>
        <v>260</v>
      </c>
      <c r="I15" s="219">
        <f>$C$15*'OM SG&amp;A'!H36</f>
        <v>130</v>
      </c>
      <c r="J15" s="219">
        <f>$C$15*'OM SG&amp;A'!I36</f>
        <v>0</v>
      </c>
      <c r="K15" s="96"/>
    </row>
    <row r="16" spans="2:15" x14ac:dyDescent="0.2">
      <c r="B16" t="s">
        <v>417</v>
      </c>
      <c r="C16" s="8">
        <v>380</v>
      </c>
      <c r="D16" s="8"/>
      <c r="E16" s="219">
        <v>379.99</v>
      </c>
      <c r="F16" s="219"/>
      <c r="G16" s="219"/>
      <c r="H16" s="219"/>
      <c r="I16" s="219"/>
      <c r="J16" s="219"/>
      <c r="K16" s="96"/>
      <c r="M16" s="56" t="s">
        <v>418</v>
      </c>
    </row>
    <row r="17" spans="2:14" x14ac:dyDescent="0.2">
      <c r="C17" s="8"/>
      <c r="D17" s="8"/>
      <c r="E17" s="219"/>
      <c r="F17" s="219"/>
      <c r="G17" s="219"/>
      <c r="H17" s="219"/>
      <c r="I17" s="219"/>
      <c r="J17" s="219"/>
      <c r="K17" s="96"/>
      <c r="M17" s="56"/>
    </row>
    <row r="18" spans="2:14" x14ac:dyDescent="0.2">
      <c r="B18" s="613" t="s">
        <v>160</v>
      </c>
      <c r="C18" s="1376"/>
      <c r="D18" s="1376"/>
      <c r="E18" s="224">
        <f>SUM(E11:E14,E15,E16)</f>
        <v>7097.94</v>
      </c>
      <c r="F18" s="224">
        <f>SUM(F12:F14,F15)</f>
        <v>130</v>
      </c>
      <c r="G18" s="224">
        <f>SUM(G12:G14,G15)</f>
        <v>0</v>
      </c>
      <c r="H18" s="224">
        <f>SUM(H12:H14,H15)</f>
        <v>1367.95</v>
      </c>
      <c r="I18" s="224">
        <f>SUM(I12:I14,I15)</f>
        <v>130</v>
      </c>
      <c r="J18" s="224">
        <f>SUM(J12:J14,J15)</f>
        <v>0</v>
      </c>
      <c r="K18" s="225"/>
    </row>
    <row r="19" spans="2:14" x14ac:dyDescent="0.2">
      <c r="B19" s="5"/>
      <c r="C19" s="1377"/>
      <c r="D19" s="1377"/>
      <c r="E19" s="219"/>
      <c r="F19" s="219"/>
      <c r="G19" s="219"/>
      <c r="H19" s="219"/>
      <c r="I19" s="219"/>
      <c r="J19" s="219"/>
      <c r="K19" s="96"/>
    </row>
    <row r="20" spans="2:14" x14ac:dyDescent="0.2">
      <c r="B20" t="s">
        <v>419</v>
      </c>
      <c r="C20" s="8">
        <v>579.99</v>
      </c>
      <c r="D20" s="8"/>
      <c r="E20" s="219">
        <f>$C$20*'OM SG&amp;A'!D36</f>
        <v>1159.98</v>
      </c>
      <c r="F20" s="219">
        <f>$C$20*'OM SG&amp;A'!E36</f>
        <v>579.99</v>
      </c>
      <c r="G20" s="219">
        <f>$C$20*'OM SG&amp;A'!F36</f>
        <v>0</v>
      </c>
      <c r="H20" s="219">
        <f>$C$20*'OM SG&amp;A'!G36</f>
        <v>1159.98</v>
      </c>
      <c r="I20" s="219">
        <f>$C$20*'OM SG&amp;A'!H36</f>
        <v>579.99</v>
      </c>
      <c r="J20" s="219">
        <f>$C$20*'OM SG&amp;A'!I36</f>
        <v>0</v>
      </c>
      <c r="K20" s="96"/>
      <c r="M20" s="56" t="s">
        <v>420</v>
      </c>
    </row>
    <row r="21" spans="2:14" x14ac:dyDescent="0.2">
      <c r="B21" t="s">
        <v>421</v>
      </c>
      <c r="C21" s="8">
        <v>679.99</v>
      </c>
      <c r="D21" s="8"/>
      <c r="E21" s="219">
        <f>$C$21*'OM SG&amp;A'!E33*2</f>
        <v>1359.98</v>
      </c>
      <c r="F21" s="219">
        <f>$C$21*'OM SG&amp;A'!F38</f>
        <v>0</v>
      </c>
      <c r="G21" s="219">
        <f>$C$21*'OM SG&amp;A'!G38</f>
        <v>0</v>
      </c>
      <c r="H21" s="219">
        <f>$C$21*'OM SG&amp;A'!H38</f>
        <v>0</v>
      </c>
      <c r="I21" s="219">
        <f>$C$21*1</f>
        <v>679.99</v>
      </c>
      <c r="J21" s="219">
        <f>$C$21*'OM SG&amp;A'!J38</f>
        <v>0</v>
      </c>
      <c r="K21" s="96"/>
      <c r="M21" s="56" t="s">
        <v>422</v>
      </c>
    </row>
    <row r="22" spans="2:14" ht="16" thickBot="1" x14ac:dyDescent="0.25">
      <c r="B22" s="1035" t="s">
        <v>423</v>
      </c>
      <c r="C22" s="1378"/>
      <c r="D22" s="1378"/>
      <c r="E22" s="1379">
        <f t="shared" ref="E22:J22" si="1">SUM(E20:E21)</f>
        <v>2519.96</v>
      </c>
      <c r="F22" s="1379">
        <f t="shared" si="1"/>
        <v>579.99</v>
      </c>
      <c r="G22" s="1379">
        <f t="shared" si="1"/>
        <v>0</v>
      </c>
      <c r="H22" s="1379">
        <f t="shared" si="1"/>
        <v>1159.98</v>
      </c>
      <c r="I22" s="1379">
        <f t="shared" si="1"/>
        <v>1259.98</v>
      </c>
      <c r="J22" s="1379">
        <f t="shared" si="1"/>
        <v>0</v>
      </c>
      <c r="K22" s="96"/>
    </row>
    <row r="23" spans="2:14" ht="16" thickTop="1" x14ac:dyDescent="0.2">
      <c r="B23" s="5"/>
      <c r="C23" s="5"/>
      <c r="D23" s="5"/>
      <c r="E23" s="96"/>
      <c r="F23" s="96"/>
      <c r="G23" s="96"/>
      <c r="H23" s="96"/>
      <c r="I23" s="96"/>
      <c r="J23" s="96"/>
      <c r="K23" s="96"/>
    </row>
    <row r="24" spans="2:14" x14ac:dyDescent="0.2">
      <c r="B24" s="612" t="s">
        <v>106</v>
      </c>
      <c r="C24" s="611"/>
      <c r="D24" s="611"/>
      <c r="E24" s="615"/>
      <c r="F24" s="616"/>
      <c r="G24" s="616"/>
      <c r="H24" s="616"/>
      <c r="I24" s="616"/>
      <c r="J24" s="616"/>
      <c r="K24" s="614"/>
    </row>
    <row r="25" spans="2:14" x14ac:dyDescent="0.2">
      <c r="B25" s="5"/>
      <c r="C25" s="5"/>
      <c r="D25" s="5"/>
      <c r="E25" s="1372"/>
      <c r="F25" s="1372"/>
      <c r="G25" s="1372"/>
      <c r="H25" s="1372"/>
      <c r="I25" s="1372"/>
      <c r="J25" s="1372"/>
      <c r="K25" s="96"/>
    </row>
    <row r="26" spans="2:14" x14ac:dyDescent="0.2">
      <c r="B26" t="s">
        <v>424</v>
      </c>
      <c r="C26" s="9">
        <v>350</v>
      </c>
      <c r="D26" s="9"/>
      <c r="E26" s="1373"/>
      <c r="F26" s="1372">
        <f>($C$26*12)*('OM Labor'!D7+'OM SG&amp;A'!D32)</f>
        <v>4200</v>
      </c>
      <c r="G26" s="1372">
        <f>($C$26*12)*('OM Labor'!E7+'OM SG&amp;A'!E32)</f>
        <v>16800</v>
      </c>
      <c r="H26" s="1372">
        <f>($C$26*12)*('OM Labor'!F7+'OM SG&amp;A'!F32)</f>
        <v>29400</v>
      </c>
      <c r="I26" s="1372">
        <f>($C$26*12)*('OM Labor'!G7+'OM SG&amp;A'!G32)</f>
        <v>54600</v>
      </c>
      <c r="J26" s="1372">
        <f>($C$26*12)*('OM Labor'!H7+'OM SG&amp;A'!H32)</f>
        <v>54600</v>
      </c>
      <c r="K26" s="96"/>
      <c r="M26" s="56" t="s">
        <v>425</v>
      </c>
    </row>
    <row r="27" spans="2:14" x14ac:dyDescent="0.2">
      <c r="B27" s="5" t="s">
        <v>426</v>
      </c>
      <c r="C27" s="33">
        <v>0.05</v>
      </c>
      <c r="D27" s="9"/>
      <c r="E27" s="1372">
        <f t="shared" ref="E27:J27" si="2">$E$11*$C$27</f>
        <v>250</v>
      </c>
      <c r="F27" s="1372">
        <f t="shared" si="2"/>
        <v>250</v>
      </c>
      <c r="G27" s="1372">
        <f t="shared" si="2"/>
        <v>250</v>
      </c>
      <c r="H27" s="1372">
        <f t="shared" si="2"/>
        <v>250</v>
      </c>
      <c r="I27" s="1372">
        <f t="shared" si="2"/>
        <v>250</v>
      </c>
      <c r="J27" s="1372">
        <f t="shared" si="2"/>
        <v>250</v>
      </c>
      <c r="K27" s="96"/>
      <c r="M27" s="56"/>
    </row>
    <row r="28" spans="2:14" x14ac:dyDescent="0.2">
      <c r="B28" t="s">
        <v>427</v>
      </c>
      <c r="C28" s="9">
        <v>12.95</v>
      </c>
      <c r="D28" s="9"/>
      <c r="E28" s="1372">
        <f>$C$28*12</f>
        <v>155.39999999999998</v>
      </c>
      <c r="F28" s="1372">
        <f t="shared" ref="F28:I28" si="3">$C$28*12</f>
        <v>155.39999999999998</v>
      </c>
      <c r="G28" s="1372">
        <f t="shared" si="3"/>
        <v>155.39999999999998</v>
      </c>
      <c r="H28" s="1372">
        <f t="shared" si="3"/>
        <v>155.39999999999998</v>
      </c>
      <c r="I28" s="1372">
        <f t="shared" si="3"/>
        <v>155.39999999999998</v>
      </c>
      <c r="J28" s="1372">
        <f>$C$28*12</f>
        <v>155.39999999999998</v>
      </c>
      <c r="K28" s="96"/>
      <c r="N28" s="86"/>
    </row>
    <row r="29" spans="2:14" x14ac:dyDescent="0.2">
      <c r="B29" t="s">
        <v>428</v>
      </c>
      <c r="C29" s="9"/>
      <c r="D29" s="9"/>
      <c r="E29" s="1374">
        <v>400</v>
      </c>
      <c r="F29" s="1372"/>
      <c r="G29" s="1372"/>
      <c r="H29" s="1372"/>
      <c r="I29" s="1372"/>
      <c r="J29" s="1372"/>
      <c r="K29" s="96"/>
    </row>
    <row r="30" spans="2:14" x14ac:dyDescent="0.2">
      <c r="B30" t="s">
        <v>429</v>
      </c>
      <c r="C30" s="9">
        <v>50</v>
      </c>
      <c r="D30" s="9"/>
      <c r="E30" s="1372">
        <f>$C$30*12</f>
        <v>600</v>
      </c>
      <c r="F30" s="1372">
        <f t="shared" ref="F30:J30" si="4">$C$30*12</f>
        <v>600</v>
      </c>
      <c r="G30" s="1372">
        <f t="shared" si="4"/>
        <v>600</v>
      </c>
      <c r="H30" s="1372">
        <f t="shared" si="4"/>
        <v>600</v>
      </c>
      <c r="I30" s="1372">
        <f t="shared" si="4"/>
        <v>600</v>
      </c>
      <c r="J30" s="1372">
        <f t="shared" si="4"/>
        <v>600</v>
      </c>
      <c r="K30" s="96"/>
    </row>
    <row r="31" spans="2:14" x14ac:dyDescent="0.2">
      <c r="B31" t="s">
        <v>430</v>
      </c>
      <c r="C31" s="9">
        <v>29</v>
      </c>
      <c r="D31" s="9"/>
      <c r="E31" s="1372">
        <f>$C$31*'OM SG&amp;A'!D35*12</f>
        <v>696</v>
      </c>
      <c r="F31" s="1372">
        <f>$C$31*'OM SG&amp;A'!E35*12</f>
        <v>1044</v>
      </c>
      <c r="G31" s="1372">
        <f>$C$31*'OM SG&amp;A'!F35*12</f>
        <v>1044</v>
      </c>
      <c r="H31" s="1372">
        <f>$C$31*'OM SG&amp;A'!G35*12</f>
        <v>1740</v>
      </c>
      <c r="I31" s="1372">
        <f>$C$31*'OM SG&amp;A'!H35*12</f>
        <v>2088</v>
      </c>
      <c r="J31" s="1372">
        <f>$C$31*'OM SG&amp;A'!I35*12</f>
        <v>2088</v>
      </c>
      <c r="K31" s="96"/>
    </row>
    <row r="32" spans="2:14" x14ac:dyDescent="0.2">
      <c r="B32" t="s">
        <v>431</v>
      </c>
      <c r="C32" s="9">
        <v>27</v>
      </c>
      <c r="D32" s="9"/>
      <c r="E32" s="1372">
        <f t="shared" ref="E32:J32" si="5">$C$32*12</f>
        <v>324</v>
      </c>
      <c r="F32" s="1372">
        <f t="shared" si="5"/>
        <v>324</v>
      </c>
      <c r="G32" s="1372">
        <f t="shared" si="5"/>
        <v>324</v>
      </c>
      <c r="H32" s="1372">
        <f t="shared" si="5"/>
        <v>324</v>
      </c>
      <c r="I32" s="1372">
        <f t="shared" si="5"/>
        <v>324</v>
      </c>
      <c r="J32" s="1372">
        <f t="shared" si="5"/>
        <v>324</v>
      </c>
      <c r="K32" s="96"/>
      <c r="M32" s="56" t="s">
        <v>432</v>
      </c>
    </row>
    <row r="33" spans="2:14" x14ac:dyDescent="0.2">
      <c r="E33" s="1372"/>
      <c r="F33" s="1372"/>
      <c r="G33" s="1372"/>
      <c r="H33" s="1372"/>
      <c r="I33" s="1372"/>
      <c r="J33" s="1372"/>
      <c r="K33" s="96"/>
    </row>
    <row r="34" spans="2:14" x14ac:dyDescent="0.2">
      <c r="B34" s="613" t="s">
        <v>433</v>
      </c>
      <c r="C34" s="613"/>
      <c r="D34" s="613"/>
      <c r="E34" s="1375">
        <f>SUM(E26:E32)</f>
        <v>2425.4</v>
      </c>
      <c r="F34" s="1375">
        <f t="shared" ref="F34:I34" si="6">SUM(F26:F32)</f>
        <v>6573.4</v>
      </c>
      <c r="G34" s="1375">
        <f t="shared" si="6"/>
        <v>19173.400000000001</v>
      </c>
      <c r="H34" s="1375">
        <f t="shared" si="6"/>
        <v>32469.4</v>
      </c>
      <c r="I34" s="1375">
        <f t="shared" si="6"/>
        <v>58017.4</v>
      </c>
      <c r="J34" s="1375">
        <f>SUM(J26:J32)</f>
        <v>58017.4</v>
      </c>
      <c r="K34" s="225"/>
    </row>
    <row r="35" spans="2:14" x14ac:dyDescent="0.2">
      <c r="E35" s="96"/>
      <c r="F35" s="96"/>
      <c r="G35" s="96"/>
      <c r="H35" s="96"/>
      <c r="I35" s="96"/>
      <c r="J35" s="96"/>
      <c r="K35" s="96"/>
    </row>
    <row r="36" spans="2:14" x14ac:dyDescent="0.2">
      <c r="E36" s="96"/>
      <c r="F36" s="96"/>
      <c r="G36" s="96"/>
      <c r="H36" s="96"/>
      <c r="I36" s="96"/>
      <c r="J36" s="96"/>
      <c r="K36" s="96"/>
    </row>
    <row r="37" spans="2:14" x14ac:dyDescent="0.2">
      <c r="B37" s="612" t="s">
        <v>434</v>
      </c>
      <c r="C37" s="611"/>
      <c r="D37" s="611"/>
      <c r="E37" s="615">
        <v>0</v>
      </c>
      <c r="F37" s="616">
        <v>1</v>
      </c>
      <c r="G37" s="616">
        <v>2</v>
      </c>
      <c r="H37" s="616">
        <v>3</v>
      </c>
      <c r="I37" s="616">
        <v>4</v>
      </c>
      <c r="J37" s="616">
        <v>5</v>
      </c>
      <c r="K37" s="37" t="s">
        <v>160</v>
      </c>
    </row>
    <row r="38" spans="2:14" x14ac:dyDescent="0.2">
      <c r="C38" s="52"/>
      <c r="D38" s="52"/>
      <c r="E38" s="617"/>
      <c r="F38" s="617"/>
      <c r="G38" s="617"/>
      <c r="H38" s="617"/>
      <c r="I38" s="617"/>
      <c r="J38" s="617"/>
      <c r="K38" s="617"/>
      <c r="L38" s="136"/>
    </row>
    <row r="39" spans="2:14" x14ac:dyDescent="0.2">
      <c r="B39">
        <v>1</v>
      </c>
      <c r="C39" s="617">
        <f>$E$18/5</f>
        <v>1419.588</v>
      </c>
      <c r="D39" s="52"/>
      <c r="E39" s="617"/>
      <c r="F39" s="1372">
        <f>$C$39+E22/3</f>
        <v>2259.5746666666664</v>
      </c>
      <c r="G39" s="1372">
        <f>$C$39+E22/2</f>
        <v>2679.5680000000002</v>
      </c>
      <c r="H39" s="1372">
        <f>$C$39+E22/2</f>
        <v>2679.5680000000002</v>
      </c>
      <c r="I39" s="1372">
        <f>$C$39</f>
        <v>1419.588</v>
      </c>
      <c r="J39" s="1372">
        <f>$C$39</f>
        <v>1419.588</v>
      </c>
      <c r="K39" s="617"/>
      <c r="L39" s="136"/>
    </row>
    <row r="40" spans="2:14" x14ac:dyDescent="0.2">
      <c r="B40">
        <v>2</v>
      </c>
      <c r="C40" s="617">
        <f>$F$18/5</f>
        <v>26</v>
      </c>
      <c r="D40" s="52"/>
      <c r="E40" s="617"/>
      <c r="F40" s="1372"/>
      <c r="G40" s="1372">
        <f>$C$40+F22/2</f>
        <v>315.995</v>
      </c>
      <c r="H40" s="1372">
        <f>$C$40+F22/2</f>
        <v>315.995</v>
      </c>
      <c r="I40" s="1372">
        <f>$C$40+F22/2</f>
        <v>315.995</v>
      </c>
      <c r="J40" s="1372">
        <f>$C$40</f>
        <v>26</v>
      </c>
      <c r="K40" s="617"/>
      <c r="L40" s="136"/>
    </row>
    <row r="41" spans="2:14" x14ac:dyDescent="0.2">
      <c r="B41">
        <v>3</v>
      </c>
      <c r="C41" s="617">
        <f>$G$18/5</f>
        <v>0</v>
      </c>
      <c r="D41" s="52"/>
      <c r="E41" s="617"/>
      <c r="F41" s="1372"/>
      <c r="G41" s="1372"/>
      <c r="H41" s="1372">
        <f>$C$41</f>
        <v>0</v>
      </c>
      <c r="I41" s="1372">
        <f>$C$41</f>
        <v>0</v>
      </c>
      <c r="J41" s="1372">
        <f>$C$41</f>
        <v>0</v>
      </c>
      <c r="K41" s="617"/>
      <c r="L41" s="136"/>
    </row>
    <row r="42" spans="2:14" x14ac:dyDescent="0.2">
      <c r="B42">
        <v>4</v>
      </c>
      <c r="C42" s="617">
        <f>$H$18/5</f>
        <v>273.59000000000003</v>
      </c>
      <c r="D42" s="52"/>
      <c r="E42" s="617"/>
      <c r="F42" s="1372"/>
      <c r="G42" s="1372"/>
      <c r="H42" s="1372"/>
      <c r="I42" s="1372">
        <f>$C$42+H22/2</f>
        <v>853.58</v>
      </c>
      <c r="J42" s="1372">
        <f>$C$42+H22/3</f>
        <v>660.25</v>
      </c>
      <c r="K42" s="617"/>
      <c r="L42" s="136"/>
    </row>
    <row r="43" spans="2:14" x14ac:dyDescent="0.2">
      <c r="B43">
        <v>5</v>
      </c>
      <c r="C43" s="617">
        <f>$I$18/5</f>
        <v>26</v>
      </c>
      <c r="D43" s="52"/>
      <c r="E43" s="617"/>
      <c r="F43" s="1372"/>
      <c r="G43" s="1372"/>
      <c r="H43" s="1372"/>
      <c r="I43" s="1372"/>
      <c r="J43" s="1372">
        <f>C43+I22/2</f>
        <v>655.99</v>
      </c>
      <c r="K43" s="617"/>
      <c r="L43" s="136"/>
    </row>
    <row r="44" spans="2:14" x14ac:dyDescent="0.2">
      <c r="B44" s="827" t="s">
        <v>435</v>
      </c>
      <c r="C44" s="827"/>
      <c r="D44" s="827"/>
      <c r="E44" s="1001"/>
      <c r="F44" s="1370">
        <f>SUM(F39:F43)</f>
        <v>2259.5746666666664</v>
      </c>
      <c r="G44" s="1370">
        <f>SUM(G39:G43)</f>
        <v>2995.5630000000001</v>
      </c>
      <c r="H44" s="1370">
        <f>SUM(H39:H43)</f>
        <v>2995.5630000000001</v>
      </c>
      <c r="I44" s="1370">
        <f>SUM(I39:I43)</f>
        <v>2589.163</v>
      </c>
      <c r="J44" s="1370">
        <f>SUM(J39:J43)</f>
        <v>2761.8279999999995</v>
      </c>
      <c r="K44" s="1371">
        <f>SUM(F44:J44)</f>
        <v>13601.691666666668</v>
      </c>
    </row>
    <row r="45" spans="2:14" x14ac:dyDescent="0.2">
      <c r="E45" s="617"/>
      <c r="F45" s="617"/>
      <c r="G45" s="617"/>
      <c r="H45" s="617"/>
      <c r="I45" s="617"/>
      <c r="J45" s="617"/>
      <c r="K45" s="96"/>
    </row>
    <row r="48" spans="2:14" x14ac:dyDescent="0.2">
      <c r="N48" s="35"/>
    </row>
    <row r="51" spans="3:7" x14ac:dyDescent="0.2">
      <c r="C51" s="8"/>
      <c r="D51" s="8"/>
      <c r="F51" s="9"/>
      <c r="G51" s="86"/>
    </row>
    <row r="52" spans="3:7" x14ac:dyDescent="0.2">
      <c r="C52" s="8"/>
      <c r="D52" s="8"/>
      <c r="F52" s="8"/>
      <c r="G52" s="86"/>
    </row>
  </sheetData>
  <mergeCells count="1">
    <mergeCell ref="B3:K3"/>
  </mergeCells>
  <hyperlinks>
    <hyperlink ref="M20" r:id="rId1" xr:uid="{08ED8DC9-FFA6-4AC3-946D-5BE8B387DA88}"/>
    <hyperlink ref="M21" r:id="rId2" xr:uid="{84A42492-F498-4B64-832C-E63ECF954AA1}"/>
    <hyperlink ref="M12" r:id="rId3" xr:uid="{7CDE3893-F04E-4D2F-95FC-3CA79BBA3622}"/>
    <hyperlink ref="M13" r:id="rId4" xr:uid="{D814102B-5B5F-45F8-96A6-6CB8B713EE6E}"/>
    <hyperlink ref="M16" r:id="rId5" xr:uid="{142FE332-61D4-E841-A93B-04097ADBDC97}"/>
    <hyperlink ref="M32" r:id="rId6" xr:uid="{F6AA2092-054E-4FD2-9801-D2C0727E86E2}"/>
    <hyperlink ref="M26" r:id="rId7" xr:uid="{BC2B8921-4FCA-A94F-B59F-F52488CF19F2}"/>
    <hyperlink ref="B1" location="Index!A1" display="Back to Index" xr:uid="{52658CDB-73A1-4B4C-A91E-C961FD2E6D5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C81BA-8D5F-45E5-9E01-1D61F4AB259A}">
  <sheetPr published="0">
    <tabColor rgb="FFFF0000"/>
  </sheetPr>
  <dimension ref="B1:U82"/>
  <sheetViews>
    <sheetView showGridLines="0" zoomScale="188" zoomScaleNormal="188" workbookViewId="0">
      <selection activeCell="L5" sqref="L5"/>
    </sheetView>
  </sheetViews>
  <sheetFormatPr baseColWidth="10" defaultColWidth="11.5" defaultRowHeight="15" x14ac:dyDescent="0.2"/>
  <cols>
    <col min="1" max="1" width="1.83203125" customWidth="1"/>
    <col min="2" max="2" width="39.33203125" customWidth="1"/>
    <col min="3" max="3" width="20.1640625" customWidth="1"/>
    <col min="4" max="4" width="16" customWidth="1"/>
    <col min="5" max="5" width="13" bestFit="1" customWidth="1"/>
    <col min="6" max="6" width="13" customWidth="1"/>
    <col min="7" max="8" width="13" bestFit="1" customWidth="1"/>
    <col min="9" max="9" width="15.1640625" customWidth="1"/>
    <col min="11" max="11" width="9" customWidth="1"/>
  </cols>
  <sheetData>
    <row r="1" spans="2:21" x14ac:dyDescent="0.2">
      <c r="B1" s="56" t="s">
        <v>37</v>
      </c>
    </row>
    <row r="3" spans="2:21" x14ac:dyDescent="0.2">
      <c r="B3" s="1821" t="s">
        <v>436</v>
      </c>
      <c r="C3" s="1821"/>
      <c r="D3" s="1821"/>
      <c r="E3" s="1821"/>
      <c r="F3" s="1821"/>
      <c r="G3" s="1821"/>
      <c r="H3" s="1821"/>
      <c r="I3" s="1821"/>
    </row>
    <row r="5" spans="2:21" s="3" customFormat="1" x14ac:dyDescent="0.2">
      <c r="B5" s="1807" t="s">
        <v>437</v>
      </c>
      <c r="C5" s="1807"/>
      <c r="D5" s="1807"/>
      <c r="E5" s="1807"/>
      <c r="F5" s="1807"/>
      <c r="G5" s="1807"/>
      <c r="H5" s="1807"/>
      <c r="I5" s="1807"/>
      <c r="J5" s="938"/>
      <c r="K5" s="938"/>
    </row>
    <row r="6" spans="2:21" s="3" customFormat="1" x14ac:dyDescent="0.2">
      <c r="B6" s="4" t="s">
        <v>438</v>
      </c>
      <c r="C6" s="4" t="s">
        <v>188</v>
      </c>
      <c r="D6" s="4">
        <v>0</v>
      </c>
      <c r="E6" s="4">
        <v>1</v>
      </c>
      <c r="F6" s="4">
        <v>2</v>
      </c>
      <c r="G6" s="4">
        <v>3</v>
      </c>
      <c r="H6" s="4">
        <v>4</v>
      </c>
      <c r="I6" s="4">
        <v>5</v>
      </c>
      <c r="J6" s="938"/>
      <c r="K6" s="938"/>
    </row>
    <row r="7" spans="2:21" s="3" customFormat="1" x14ac:dyDescent="0.2">
      <c r="B7" t="s">
        <v>439</v>
      </c>
      <c r="D7" s="41">
        <f t="shared" ref="D7:I7" si="0">D31</f>
        <v>60883.333333333328</v>
      </c>
      <c r="E7" s="41">
        <f t="shared" si="0"/>
        <v>483594.8</v>
      </c>
      <c r="F7" s="41">
        <f t="shared" si="0"/>
        <v>498102.64399999997</v>
      </c>
      <c r="G7" s="41">
        <f t="shared" si="0"/>
        <v>807176.46204000013</v>
      </c>
      <c r="H7" s="41">
        <f t="shared" si="0"/>
        <v>970592.05350120005</v>
      </c>
      <c r="I7" s="41">
        <f t="shared" si="0"/>
        <v>998276.14780623617</v>
      </c>
      <c r="M7" s="87"/>
    </row>
    <row r="8" spans="2:21" s="3" customFormat="1" x14ac:dyDescent="0.2">
      <c r="B8" s="3" t="s">
        <v>440</v>
      </c>
      <c r="D8" s="41">
        <f>'OM Information Systems Expenses'!E34</f>
        <v>2425.4</v>
      </c>
      <c r="E8" s="41">
        <f>'OM Information Systems Expenses'!F34</f>
        <v>6573.4</v>
      </c>
      <c r="F8" s="41">
        <f>'OM Information Systems Expenses'!G34</f>
        <v>19173.400000000001</v>
      </c>
      <c r="G8" s="41">
        <f>'OM Information Systems Expenses'!H34</f>
        <v>32469.4</v>
      </c>
      <c r="H8" s="41">
        <f>'OM Information Systems Expenses'!I34</f>
        <v>58017.4</v>
      </c>
      <c r="I8" s="41">
        <f>'OM Information Systems Expenses'!J34</f>
        <v>58017.4</v>
      </c>
      <c r="M8" s="87"/>
    </row>
    <row r="9" spans="2:21" s="3" customFormat="1" x14ac:dyDescent="0.2">
      <c r="B9" s="3" t="s">
        <v>151</v>
      </c>
      <c r="D9" s="41"/>
      <c r="E9" s="49">
        <f>('OM Assumptions'!$C$95*'OM Assumptions'!$C$96)+('OM Assumptions'!D97*'OM Assumptions'!$C$98)</f>
        <v>3141.1000000000004</v>
      </c>
      <c r="F9" s="49">
        <f>('OM Assumptions'!$C$95*'OM Assumptions'!$C$96)+('OM Assumptions'!E97*'OM Assumptions'!$C$98)</f>
        <v>3275.0000000000005</v>
      </c>
      <c r="G9" s="49">
        <f>('OM Assumptions'!$C$95*'OM Assumptions'!$C$96)+('OM Assumptions'!F97*'OM Assumptions'!$C$98)</f>
        <v>3408.9000000000005</v>
      </c>
      <c r="H9" s="49">
        <f>('OM Assumptions'!$C$95*'OM Assumptions'!$C$96)+('OM Assumptions'!G97*'OM Assumptions'!$C$98)</f>
        <v>3542.8000000000006</v>
      </c>
      <c r="I9" s="49">
        <f>('OM Assumptions'!$C$95*'OM Assumptions'!$C$96)+('OM Assumptions'!H97*'OM Assumptions'!$C$98)</f>
        <v>3676.7000000000007</v>
      </c>
    </row>
    <row r="10" spans="2:21" s="3" customFormat="1" x14ac:dyDescent="0.2">
      <c r="B10" s="3" t="s">
        <v>441</v>
      </c>
      <c r="E10" s="41">
        <f>'OM Assumptions'!C103</f>
        <v>2400</v>
      </c>
      <c r="F10" s="41">
        <f>'OM Assumptions'!D103</f>
        <v>2400</v>
      </c>
      <c r="G10" s="41">
        <f>'OM Assumptions'!E103</f>
        <v>3600</v>
      </c>
      <c r="H10" s="41">
        <f>'OM Assumptions'!F103</f>
        <v>6000</v>
      </c>
      <c r="I10" s="41">
        <f>'OM Assumptions'!G103</f>
        <v>0</v>
      </c>
    </row>
    <row r="11" spans="2:21" s="3" customFormat="1" x14ac:dyDescent="0.2">
      <c r="B11" s="3" t="s">
        <v>442</v>
      </c>
      <c r="D11" s="41"/>
      <c r="E11" s="41">
        <f>E49</f>
        <v>2724.9405384615384</v>
      </c>
      <c r="F11" s="41">
        <f>E55</f>
        <v>4983.1221538461541</v>
      </c>
      <c r="G11" s="41">
        <f>E61</f>
        <v>13127.319384615384</v>
      </c>
      <c r="H11" s="41">
        <f>E67</f>
        <v>22526.910063455129</v>
      </c>
      <c r="I11" s="41">
        <f>E73</f>
        <v>31349.824307692306</v>
      </c>
    </row>
    <row r="12" spans="2:21" ht="16" thickBot="1" x14ac:dyDescent="0.25">
      <c r="B12" s="1354" t="s">
        <v>443</v>
      </c>
      <c r="C12" s="1355"/>
      <c r="D12" s="1359">
        <f t="shared" ref="D12:I12" si="1">SUM(D7:D11)</f>
        <v>63308.73333333333</v>
      </c>
      <c r="E12" s="1359">
        <f t="shared" si="1"/>
        <v>498434.24053846154</v>
      </c>
      <c r="F12" s="1359">
        <f t="shared" si="1"/>
        <v>527934.16615384619</v>
      </c>
      <c r="G12" s="1359">
        <f t="shared" si="1"/>
        <v>859782.08142461558</v>
      </c>
      <c r="H12" s="1359">
        <f t="shared" si="1"/>
        <v>1060679.1635646552</v>
      </c>
      <c r="I12" s="1359">
        <f t="shared" si="1"/>
        <v>1091320.0721139284</v>
      </c>
    </row>
    <row r="13" spans="2:21" ht="16" thickTop="1" x14ac:dyDescent="0.2"/>
    <row r="14" spans="2:21" x14ac:dyDescent="0.2">
      <c r="L14" s="3"/>
      <c r="M14" s="3"/>
      <c r="N14" s="3"/>
      <c r="O14" s="3"/>
      <c r="P14" s="3"/>
      <c r="Q14" s="3"/>
      <c r="R14" s="3"/>
      <c r="S14" s="3"/>
      <c r="T14" s="3"/>
      <c r="U14" s="3"/>
    </row>
    <row r="15" spans="2:21" x14ac:dyDescent="0.2">
      <c r="K15" s="1353"/>
      <c r="L15" s="3"/>
      <c r="M15" s="3"/>
      <c r="N15" s="3"/>
      <c r="O15" s="3"/>
      <c r="P15" s="3"/>
      <c r="Q15" s="3"/>
      <c r="R15" s="3"/>
      <c r="S15" s="3"/>
      <c r="T15" s="3"/>
      <c r="U15" s="3"/>
    </row>
    <row r="16" spans="2:21" x14ac:dyDescent="0.2">
      <c r="B16" s="1807" t="s">
        <v>444</v>
      </c>
      <c r="C16" s="1807"/>
      <c r="D16" s="1807"/>
      <c r="E16" s="1807"/>
      <c r="F16" s="1807"/>
      <c r="G16" s="1807"/>
      <c r="H16" s="1807"/>
      <c r="I16" s="1807"/>
      <c r="K16" s="1353"/>
      <c r="L16" s="3"/>
      <c r="M16" s="3"/>
      <c r="N16" s="3"/>
      <c r="O16" s="3"/>
      <c r="P16" s="3"/>
      <c r="Q16" s="3"/>
      <c r="R16" s="3"/>
      <c r="S16" s="3"/>
      <c r="T16" s="3"/>
      <c r="U16" s="3"/>
    </row>
    <row r="17" spans="2:21" x14ac:dyDescent="0.2">
      <c r="B17" s="4" t="s">
        <v>445</v>
      </c>
      <c r="C17" s="642"/>
      <c r="D17" s="1068" t="s">
        <v>446</v>
      </c>
      <c r="E17" s="1068" t="s">
        <v>447</v>
      </c>
      <c r="F17" s="1068" t="s">
        <v>42</v>
      </c>
      <c r="G17" s="1068" t="s">
        <v>43</v>
      </c>
      <c r="H17" s="1068" t="s">
        <v>44</v>
      </c>
      <c r="I17" s="1068" t="s">
        <v>45</v>
      </c>
      <c r="L17" s="3"/>
      <c r="M17" s="3"/>
      <c r="N17" s="3"/>
      <c r="O17" s="3"/>
      <c r="P17" s="3"/>
      <c r="Q17" s="3"/>
      <c r="R17" s="3"/>
      <c r="S17" s="3"/>
      <c r="T17" s="3"/>
      <c r="U17" s="3"/>
    </row>
    <row r="18" spans="2:21" x14ac:dyDescent="0.2">
      <c r="B18" s="42" t="s">
        <v>448</v>
      </c>
      <c r="C18" s="42"/>
      <c r="D18" s="1382">
        <f>110000*(1+$D$40)/6</f>
        <v>23833.333333333332</v>
      </c>
      <c r="E18" s="1382">
        <f>110000*(1+$D$40)</f>
        <v>143000</v>
      </c>
      <c r="F18" s="1382">
        <f>E18*(1+'FE Assumptions'!$C$114)</f>
        <v>147290</v>
      </c>
      <c r="G18" s="1382">
        <f>F18*(1+'FE Assumptions'!$C$114)</f>
        <v>151708.70000000001</v>
      </c>
      <c r="H18" s="1382">
        <f>G18*(1+'FE Assumptions'!$C$114)</f>
        <v>156259.96100000001</v>
      </c>
      <c r="I18" s="1382">
        <f>H18*(1+'FE Assumptions'!$C$114)</f>
        <v>160947.75983000002</v>
      </c>
      <c r="K18" s="3"/>
      <c r="L18" s="3"/>
      <c r="M18" s="3"/>
      <c r="N18" s="3"/>
      <c r="O18" s="3"/>
      <c r="P18" s="3"/>
      <c r="Q18" s="3"/>
      <c r="R18" s="3"/>
      <c r="S18" s="3"/>
      <c r="T18" s="3"/>
      <c r="U18" s="3"/>
    </row>
    <row r="19" spans="2:21" x14ac:dyDescent="0.2">
      <c r="B19" s="505" t="s">
        <v>449</v>
      </c>
      <c r="C19" s="505"/>
      <c r="D19" s="1383">
        <v>0</v>
      </c>
      <c r="E19" s="1383">
        <v>0</v>
      </c>
      <c r="F19" s="1383">
        <v>0</v>
      </c>
      <c r="G19" s="1383">
        <v>0</v>
      </c>
      <c r="H19" s="1383">
        <f>H18*(0.9)</f>
        <v>140633.96490000002</v>
      </c>
      <c r="I19" s="1383">
        <f>I18*(0.9)</f>
        <v>144852.98384700002</v>
      </c>
      <c r="J19" s="3" t="s">
        <v>450</v>
      </c>
      <c r="K19" s="3"/>
      <c r="L19" s="3"/>
      <c r="M19" s="3"/>
      <c r="N19" s="3"/>
      <c r="O19" s="3"/>
      <c r="P19" s="3"/>
      <c r="Q19" s="3"/>
      <c r="R19" s="3"/>
      <c r="S19" s="3"/>
      <c r="T19" s="3"/>
      <c r="U19" s="3"/>
    </row>
    <row r="20" spans="2:21" x14ac:dyDescent="0.2">
      <c r="B20" s="505" t="s">
        <v>451</v>
      </c>
      <c r="C20" s="505"/>
      <c r="D20" s="1356">
        <v>1</v>
      </c>
      <c r="E20" s="1356">
        <v>1</v>
      </c>
      <c r="F20" s="1356">
        <v>1</v>
      </c>
      <c r="G20" s="1356">
        <v>1</v>
      </c>
      <c r="H20" s="1356">
        <v>2</v>
      </c>
      <c r="I20" s="1356">
        <v>2</v>
      </c>
      <c r="J20" s="3"/>
      <c r="K20" s="3"/>
      <c r="L20" s="3"/>
      <c r="M20" s="3"/>
      <c r="N20" s="3"/>
      <c r="O20" s="3"/>
      <c r="P20" s="3"/>
      <c r="Q20" s="3"/>
      <c r="R20" s="3"/>
      <c r="S20" s="3"/>
      <c r="T20" s="3"/>
      <c r="U20" s="3"/>
    </row>
    <row r="21" spans="2:21" x14ac:dyDescent="0.2">
      <c r="B21" s="42" t="s">
        <v>452</v>
      </c>
      <c r="C21" s="42"/>
      <c r="D21" s="1382">
        <f>85500/6</f>
        <v>14250</v>
      </c>
      <c r="E21" s="1382">
        <f>85500*(1+D40)</f>
        <v>111150</v>
      </c>
      <c r="F21" s="1382">
        <f>E21*(1+'FE Assumptions'!$C$114)</f>
        <v>114484.5</v>
      </c>
      <c r="G21" s="1382">
        <f>F21*(1+'FE Assumptions'!$C$114)</f>
        <v>117919.035</v>
      </c>
      <c r="H21" s="1382">
        <f>G21*(1+'FE Assumptions'!$C$114)</f>
        <v>121456.60605</v>
      </c>
      <c r="I21" s="1382">
        <f>H21*(1+'FE Assumptions'!$C$114)</f>
        <v>125100.30423150001</v>
      </c>
      <c r="J21" s="3"/>
      <c r="K21" s="3"/>
      <c r="L21" s="3"/>
      <c r="M21" s="3"/>
      <c r="N21" s="3"/>
      <c r="O21" s="3"/>
      <c r="P21" s="3"/>
      <c r="Q21" s="3"/>
      <c r="R21" s="3"/>
      <c r="S21" s="3"/>
      <c r="T21" s="3"/>
      <c r="U21" s="3"/>
    </row>
    <row r="22" spans="2:21" x14ac:dyDescent="0.2">
      <c r="B22" s="42" t="s">
        <v>453</v>
      </c>
      <c r="C22" s="42"/>
      <c r="D22" s="594">
        <v>1</v>
      </c>
      <c r="E22" s="594">
        <v>2</v>
      </c>
      <c r="F22" s="594">
        <v>2</v>
      </c>
      <c r="G22" s="594">
        <v>4</v>
      </c>
      <c r="H22" s="594">
        <v>4</v>
      </c>
      <c r="I22" s="594">
        <v>4</v>
      </c>
      <c r="J22" s="3" t="s">
        <v>454</v>
      </c>
      <c r="K22" s="3"/>
      <c r="L22" s="3"/>
      <c r="M22" s="3"/>
      <c r="N22" s="3"/>
      <c r="O22" s="3"/>
      <c r="P22" s="3"/>
      <c r="Q22" s="3"/>
      <c r="R22" s="3"/>
      <c r="S22" s="3"/>
      <c r="T22" s="3"/>
      <c r="U22" s="3"/>
    </row>
    <row r="23" spans="2:21" x14ac:dyDescent="0.2">
      <c r="B23" s="42" t="s">
        <v>455</v>
      </c>
      <c r="C23" s="42"/>
      <c r="D23" s="1382">
        <f>E23/6</f>
        <v>37050</v>
      </c>
      <c r="E23" s="1382">
        <f>E21*E22</f>
        <v>222300</v>
      </c>
      <c r="F23" s="1382">
        <f>F21*F22</f>
        <v>228969</v>
      </c>
      <c r="G23" s="1382">
        <f>G21*G22</f>
        <v>471676.14</v>
      </c>
      <c r="H23" s="1382">
        <f>H21*H22</f>
        <v>485826.42420000001</v>
      </c>
      <c r="I23" s="1382">
        <f>I21*I22</f>
        <v>500401.21692600002</v>
      </c>
      <c r="J23" s="3"/>
      <c r="K23" s="3"/>
      <c r="L23" s="3"/>
      <c r="M23" s="3"/>
      <c r="N23" s="3"/>
      <c r="O23" s="3"/>
      <c r="P23" s="3"/>
      <c r="Q23" s="3"/>
      <c r="R23" s="3"/>
      <c r="S23" s="3"/>
      <c r="T23" s="3"/>
      <c r="U23" s="3"/>
    </row>
    <row r="24" spans="2:21" x14ac:dyDescent="0.2">
      <c r="B24" s="505" t="s">
        <v>456</v>
      </c>
      <c r="C24" s="505"/>
      <c r="D24" s="1356">
        <v>0</v>
      </c>
      <c r="E24" s="1383">
        <f>43306*(1+D40)</f>
        <v>56297.8</v>
      </c>
      <c r="F24" s="1383">
        <f>E24*(1+'FE Assumptions'!$C$114)</f>
        <v>57986.734000000004</v>
      </c>
      <c r="G24" s="1383">
        <f>F24*(1+'FE Assumptions'!$C$114)</f>
        <v>59726.336020000002</v>
      </c>
      <c r="H24" s="1383">
        <f>G24*(1+'FE Assumptions'!$C$114)</f>
        <v>61518.126100600006</v>
      </c>
      <c r="I24" s="1383">
        <f>H24*(1+'FE Assumptions'!$C$114)</f>
        <v>63363.669883618008</v>
      </c>
      <c r="J24" s="3"/>
      <c r="K24" s="3"/>
      <c r="L24" s="3"/>
      <c r="M24" s="3"/>
      <c r="N24" s="3"/>
      <c r="O24" s="3"/>
      <c r="P24" s="3"/>
      <c r="Q24" s="3"/>
      <c r="R24" s="3"/>
      <c r="S24" s="3"/>
      <c r="T24" s="3"/>
      <c r="U24" s="3"/>
    </row>
    <row r="25" spans="2:21" x14ac:dyDescent="0.2">
      <c r="B25" s="505" t="s">
        <v>457</v>
      </c>
      <c r="C25" s="505"/>
      <c r="D25" s="1356">
        <v>0</v>
      </c>
      <c r="E25" s="1356">
        <v>1</v>
      </c>
      <c r="F25" s="1356">
        <v>1</v>
      </c>
      <c r="G25" s="1356">
        <v>2</v>
      </c>
      <c r="H25" s="1356">
        <v>2</v>
      </c>
      <c r="I25" s="1356">
        <v>2</v>
      </c>
      <c r="J25" s="3" t="s">
        <v>458</v>
      </c>
      <c r="K25" s="3"/>
      <c r="L25" s="3"/>
      <c r="M25" s="3"/>
      <c r="N25" s="3"/>
      <c r="O25" s="3"/>
      <c r="P25" s="3"/>
      <c r="Q25" s="3"/>
      <c r="R25" s="3"/>
      <c r="S25" s="3"/>
      <c r="T25" s="3"/>
      <c r="U25" s="3"/>
    </row>
    <row r="26" spans="2:21" x14ac:dyDescent="0.2">
      <c r="B26" s="505" t="s">
        <v>459</v>
      </c>
      <c r="C26" s="505"/>
      <c r="D26" s="1356">
        <v>0</v>
      </c>
      <c r="E26" s="1383">
        <f>E24*E25</f>
        <v>56297.8</v>
      </c>
      <c r="F26" s="1383">
        <f>F24*F25</f>
        <v>57986.734000000004</v>
      </c>
      <c r="G26" s="1383">
        <f>G24*G25</f>
        <v>119452.67204</v>
      </c>
      <c r="H26" s="1383">
        <f>H24*H25</f>
        <v>123036.25220120001</v>
      </c>
      <c r="I26" s="1383">
        <f>I24*I25</f>
        <v>126727.33976723602</v>
      </c>
      <c r="J26" s="3"/>
      <c r="K26" s="3"/>
      <c r="L26" s="3"/>
      <c r="M26" s="3"/>
      <c r="N26" s="3"/>
      <c r="O26" s="3"/>
      <c r="P26" s="3"/>
      <c r="Q26" s="3"/>
      <c r="R26" s="3"/>
      <c r="S26" s="3"/>
      <c r="T26" s="3"/>
      <c r="U26" s="3"/>
    </row>
    <row r="27" spans="2:21" x14ac:dyDescent="0.2">
      <c r="B27" s="505" t="s">
        <v>460</v>
      </c>
      <c r="C27" s="505"/>
      <c r="D27" s="1356">
        <v>0</v>
      </c>
      <c r="E27" s="1383">
        <f>35690*(1+D40)</f>
        <v>46397</v>
      </c>
      <c r="F27" s="1383">
        <f>E27*(1+D39)</f>
        <v>47788.91</v>
      </c>
      <c r="G27" s="1383">
        <f>F27*(1+E39)</f>
        <v>47788.91</v>
      </c>
      <c r="H27" s="1383">
        <f>G27*(1+F39)</f>
        <v>47788.91</v>
      </c>
      <c r="I27" s="1383">
        <f>H27*(1+G39)</f>
        <v>47788.91</v>
      </c>
      <c r="J27" s="3"/>
    </row>
    <row r="28" spans="2:21" ht="15" customHeight="1" x14ac:dyDescent="0.2">
      <c r="B28" s="505" t="s">
        <v>461</v>
      </c>
      <c r="C28" s="505"/>
      <c r="D28" s="1356">
        <v>0</v>
      </c>
      <c r="E28" s="1383">
        <f>12000*(1+D40)</f>
        <v>15600</v>
      </c>
      <c r="F28" s="1383">
        <f>E28*(1+'FE Assumptions'!$C$114)</f>
        <v>16068</v>
      </c>
      <c r="G28" s="1383">
        <f>F28*(1+'FE Assumptions'!$C$114)</f>
        <v>16550.04</v>
      </c>
      <c r="H28" s="1383">
        <f>G28*(1+'FE Assumptions'!$C$114)</f>
        <v>17046.5412</v>
      </c>
      <c r="I28" s="1383">
        <f>H28*(1+'FE Assumptions'!$C$114)</f>
        <v>17557.937436</v>
      </c>
      <c r="J28" s="3"/>
    </row>
    <row r="29" spans="2:21" ht="15" customHeight="1" x14ac:dyDescent="0.2">
      <c r="B29" s="505"/>
      <c r="C29" s="505"/>
      <c r="D29" s="1356">
        <v>0</v>
      </c>
      <c r="E29" s="1356">
        <v>1</v>
      </c>
      <c r="F29" s="1356">
        <v>1</v>
      </c>
      <c r="G29" s="1356">
        <v>1</v>
      </c>
      <c r="H29" s="1356">
        <v>1</v>
      </c>
      <c r="I29" s="1356">
        <v>1</v>
      </c>
      <c r="J29" s="3"/>
    </row>
    <row r="30" spans="2:21" ht="15" customHeight="1" x14ac:dyDescent="0.2">
      <c r="B30" s="505" t="s">
        <v>462</v>
      </c>
      <c r="C30" s="505"/>
      <c r="D30" s="1383">
        <v>0</v>
      </c>
      <c r="E30" s="1383">
        <f>E26+E28+E27</f>
        <v>118294.8</v>
      </c>
      <c r="F30" s="1383">
        <f>F26+F28+F27</f>
        <v>121843.644</v>
      </c>
      <c r="G30" s="1383">
        <f>G26+G28+G27</f>
        <v>183791.62204000002</v>
      </c>
      <c r="H30" s="1383">
        <f>H26+H28+H27</f>
        <v>187871.70340120001</v>
      </c>
      <c r="I30" s="1383">
        <f>I26+I28+I27</f>
        <v>192074.18720323601</v>
      </c>
      <c r="J30" s="3"/>
      <c r="K30" s="13"/>
      <c r="L30" s="13"/>
      <c r="M30" s="13"/>
      <c r="N30" s="13"/>
      <c r="O30" s="13"/>
      <c r="P30" s="13"/>
      <c r="Q30" s="13"/>
      <c r="R30" s="13"/>
      <c r="S30" s="13"/>
      <c r="T30" s="13"/>
      <c r="U30" s="13"/>
    </row>
    <row r="31" spans="2:21" ht="15" customHeight="1" x14ac:dyDescent="0.2">
      <c r="B31" s="380" t="s">
        <v>463</v>
      </c>
      <c r="C31" s="380"/>
      <c r="D31" s="1384">
        <f>(D18+D23+D19)</f>
        <v>60883.333333333328</v>
      </c>
      <c r="E31" s="1384">
        <f>(E18+E23+E19+E30)</f>
        <v>483594.8</v>
      </c>
      <c r="F31" s="1384">
        <f>(F18+F23+F19+F30)</f>
        <v>498102.64399999997</v>
      </c>
      <c r="G31" s="1384">
        <f>(G18+G23+G19+G30)</f>
        <v>807176.46204000013</v>
      </c>
      <c r="H31" s="1384">
        <f>(H18+H23+H19+H30)</f>
        <v>970592.05350120005</v>
      </c>
      <c r="I31" s="1384">
        <f>(I18+I23+I19+I30)</f>
        <v>998276.14780623617</v>
      </c>
    </row>
    <row r="32" spans="2:21" ht="15" customHeight="1" x14ac:dyDescent="0.2">
      <c r="B32" s="505" t="s">
        <v>464</v>
      </c>
      <c r="C32" s="505"/>
      <c r="D32" s="1357">
        <f>D25*D29</f>
        <v>0</v>
      </c>
      <c r="E32" s="1357">
        <f>E25+E29</f>
        <v>2</v>
      </c>
      <c r="F32" s="1357">
        <f>F25+F29</f>
        <v>2</v>
      </c>
      <c r="G32" s="1357">
        <f>G25+G29</f>
        <v>3</v>
      </c>
      <c r="H32" s="1357">
        <f>H25+H29</f>
        <v>3</v>
      </c>
      <c r="I32" s="1357">
        <f>I25+I29</f>
        <v>3</v>
      </c>
      <c r="J32" t="s">
        <v>465</v>
      </c>
    </row>
    <row r="33" spans="2:14" x14ac:dyDescent="0.2">
      <c r="B33" s="380" t="s">
        <v>466</v>
      </c>
      <c r="C33" s="380"/>
      <c r="D33" s="380"/>
      <c r="E33" s="595">
        <v>1</v>
      </c>
      <c r="F33" s="380"/>
      <c r="G33" s="380"/>
      <c r="H33" s="380"/>
      <c r="I33" s="380"/>
      <c r="N33" s="56"/>
    </row>
    <row r="34" spans="2:14" x14ac:dyDescent="0.2">
      <c r="D34" s="103"/>
      <c r="E34" s="103"/>
      <c r="F34" s="103"/>
      <c r="G34" s="103"/>
      <c r="H34" s="103"/>
      <c r="I34" s="103"/>
      <c r="J34" s="13"/>
      <c r="N34" s="56"/>
    </row>
    <row r="35" spans="2:14" ht="15" customHeight="1" x14ac:dyDescent="0.2">
      <c r="B35" s="380" t="s">
        <v>467</v>
      </c>
      <c r="C35" s="380"/>
      <c r="D35" s="594">
        <f t="shared" ref="D35:I35" si="2">D20+D22</f>
        <v>2</v>
      </c>
      <c r="E35" s="595">
        <f t="shared" si="2"/>
        <v>3</v>
      </c>
      <c r="F35" s="595">
        <f t="shared" si="2"/>
        <v>3</v>
      </c>
      <c r="G35" s="595">
        <f t="shared" si="2"/>
        <v>5</v>
      </c>
      <c r="H35" s="595">
        <f t="shared" si="2"/>
        <v>6</v>
      </c>
      <c r="I35" s="595">
        <f t="shared" si="2"/>
        <v>6</v>
      </c>
    </row>
    <row r="36" spans="2:14" ht="15" customHeight="1" x14ac:dyDescent="0.2">
      <c r="B36" s="380" t="s">
        <v>468</v>
      </c>
      <c r="C36" s="380"/>
      <c r="D36" s="595">
        <v>2</v>
      </c>
      <c r="E36" s="595">
        <f>E35-D35</f>
        <v>1</v>
      </c>
      <c r="F36" s="595">
        <f t="shared" ref="F36:I36" si="3">F35-E35</f>
        <v>0</v>
      </c>
      <c r="G36" s="595">
        <f t="shared" si="3"/>
        <v>2</v>
      </c>
      <c r="H36" s="595">
        <f>H35-G35</f>
        <v>1</v>
      </c>
      <c r="I36" s="595">
        <f t="shared" si="3"/>
        <v>0</v>
      </c>
      <c r="J36" t="s">
        <v>469</v>
      </c>
    </row>
    <row r="38" spans="2:14" x14ac:dyDescent="0.2">
      <c r="I38" s="103"/>
      <c r="J38" s="103"/>
    </row>
    <row r="39" spans="2:14" ht="16" x14ac:dyDescent="0.2">
      <c r="B39" s="629" t="s">
        <v>470</v>
      </c>
      <c r="C39" s="629"/>
      <c r="D39" s="979">
        <v>0.03</v>
      </c>
    </row>
    <row r="40" spans="2:14" x14ac:dyDescent="0.2">
      <c r="B40" s="380" t="s">
        <v>471</v>
      </c>
      <c r="C40" s="380"/>
      <c r="D40" s="980">
        <v>0.3</v>
      </c>
    </row>
    <row r="41" spans="2:14" x14ac:dyDescent="0.2">
      <c r="F41" s="195"/>
      <c r="G41" s="195"/>
      <c r="H41" s="195"/>
      <c r="I41" s="195"/>
    </row>
    <row r="42" spans="2:14" x14ac:dyDescent="0.2">
      <c r="F42" s="938"/>
      <c r="G42" s="938"/>
      <c r="H42" s="938"/>
      <c r="I42" s="938"/>
    </row>
    <row r="45" spans="2:14" x14ac:dyDescent="0.2">
      <c r="B45" s="1807" t="s">
        <v>472</v>
      </c>
      <c r="C45" s="1807"/>
      <c r="D45" s="1807"/>
      <c r="E45" s="1807"/>
    </row>
    <row r="46" spans="2:14" x14ac:dyDescent="0.2">
      <c r="B46" s="1068" t="s">
        <v>438</v>
      </c>
      <c r="C46" s="1068" t="s">
        <v>473</v>
      </c>
      <c r="D46" s="1068" t="s">
        <v>474</v>
      </c>
      <c r="E46" s="1068" t="s">
        <v>160</v>
      </c>
    </row>
    <row r="47" spans="2:14" x14ac:dyDescent="0.2">
      <c r="B47" t="s">
        <v>475</v>
      </c>
      <c r="C47" s="86">
        <v>12.5</v>
      </c>
      <c r="D47" s="117">
        <f>'OM Assumptions'!C82</f>
        <v>174.47435897435898</v>
      </c>
      <c r="E47" s="59">
        <f>C47*D47</f>
        <v>2180.9294871794873</v>
      </c>
      <c r="F47" s="56" t="s">
        <v>476</v>
      </c>
    </row>
    <row r="48" spans="2:14" ht="16" customHeight="1" x14ac:dyDescent="0.2">
      <c r="B48" t="s">
        <v>477</v>
      </c>
      <c r="C48" s="86">
        <v>31.18</v>
      </c>
      <c r="D48" s="136">
        <f>'OM Assumptions'!C84</f>
        <v>17.447435897435899</v>
      </c>
      <c r="E48" s="59">
        <f>D48*C48</f>
        <v>544.01105128205131</v>
      </c>
      <c r="F48" s="56" t="s">
        <v>478</v>
      </c>
    </row>
    <row r="49" spans="2:15" ht="16" x14ac:dyDescent="0.2">
      <c r="B49" t="s">
        <v>479</v>
      </c>
      <c r="E49" s="59">
        <f>SUM(E47:E48)</f>
        <v>2724.9405384615384</v>
      </c>
      <c r="F49" s="964"/>
    </row>
    <row r="51" spans="2:15" x14ac:dyDescent="0.2">
      <c r="B51" s="1820" t="s">
        <v>480</v>
      </c>
      <c r="C51" s="1820"/>
      <c r="D51" s="1820"/>
      <c r="E51" s="1820"/>
      <c r="H51" s="95"/>
    </row>
    <row r="52" spans="2:15" x14ac:dyDescent="0.2">
      <c r="B52" s="1158" t="s">
        <v>438</v>
      </c>
      <c r="C52" s="1158" t="s">
        <v>473</v>
      </c>
      <c r="D52" s="1158" t="s">
        <v>474</v>
      </c>
      <c r="E52" s="1158" t="s">
        <v>160</v>
      </c>
      <c r="H52" s="95"/>
      <c r="O52" s="117"/>
    </row>
    <row r="53" spans="2:15" x14ac:dyDescent="0.2">
      <c r="B53" t="s">
        <v>475</v>
      </c>
      <c r="C53" s="86">
        <v>12.5</v>
      </c>
      <c r="D53" s="117">
        <f>'OM Assumptions'!D82</f>
        <v>345.47435897435895</v>
      </c>
      <c r="E53" s="1352">
        <f>C53*D53</f>
        <v>4318.4294871794873</v>
      </c>
      <c r="H53" s="95"/>
      <c r="O53" s="117"/>
    </row>
    <row r="54" spans="2:15" x14ac:dyDescent="0.2">
      <c r="B54" t="s">
        <v>477</v>
      </c>
      <c r="C54" s="86">
        <v>19.239999999999998</v>
      </c>
      <c r="D54" s="136">
        <f>'OM Assumptions'!D84</f>
        <v>34.547435897435896</v>
      </c>
      <c r="E54" s="1352">
        <f>D54*C54</f>
        <v>664.69266666666658</v>
      </c>
      <c r="O54" s="117"/>
    </row>
    <row r="55" spans="2:15" x14ac:dyDescent="0.2">
      <c r="B55" t="s">
        <v>479</v>
      </c>
      <c r="E55" s="1352">
        <f>SUM(E53:E54)</f>
        <v>4983.1221538461541</v>
      </c>
      <c r="O55" s="117"/>
    </row>
    <row r="56" spans="2:15" x14ac:dyDescent="0.2">
      <c r="O56" s="117"/>
    </row>
    <row r="57" spans="2:15" x14ac:dyDescent="0.2">
      <c r="B57" s="1820" t="s">
        <v>481</v>
      </c>
      <c r="C57" s="1820"/>
      <c r="D57" s="1820"/>
      <c r="E57" s="1820"/>
      <c r="O57" s="117"/>
    </row>
    <row r="58" spans="2:15" x14ac:dyDescent="0.2">
      <c r="B58" s="1158" t="s">
        <v>438</v>
      </c>
      <c r="C58" s="1158" t="s">
        <v>473</v>
      </c>
      <c r="D58" s="1158" t="s">
        <v>474</v>
      </c>
      <c r="E58" s="1158" t="s">
        <v>160</v>
      </c>
      <c r="O58" s="117"/>
    </row>
    <row r="59" spans="2:15" x14ac:dyDescent="0.2">
      <c r="B59" t="s">
        <v>475</v>
      </c>
      <c r="C59" s="86">
        <v>12.5</v>
      </c>
      <c r="D59" s="117">
        <f>'OM Assumptions'!E82</f>
        <v>910.10256410256409</v>
      </c>
      <c r="E59" s="59">
        <f>C59*D59</f>
        <v>11376.282051282051</v>
      </c>
      <c r="O59" s="117"/>
    </row>
    <row r="60" spans="2:15" x14ac:dyDescent="0.2">
      <c r="B60" t="s">
        <v>477</v>
      </c>
      <c r="C60" s="86">
        <v>19.239999999999998</v>
      </c>
      <c r="D60" s="136">
        <f>'OM Assumptions'!E84</f>
        <v>91.010256410256417</v>
      </c>
      <c r="E60" s="59">
        <f>D60*C60</f>
        <v>1751.0373333333334</v>
      </c>
      <c r="O60" s="117"/>
    </row>
    <row r="61" spans="2:15" x14ac:dyDescent="0.2">
      <c r="B61" t="s">
        <v>479</v>
      </c>
      <c r="D61" s="136">
        <f>'OM Assumptions'!F84</f>
        <v>156.17658113876269</v>
      </c>
      <c r="E61" s="59">
        <f>SUM(E59:E60)</f>
        <v>13127.319384615384</v>
      </c>
      <c r="O61" s="117"/>
    </row>
    <row r="62" spans="2:15" x14ac:dyDescent="0.2">
      <c r="O62" s="117"/>
    </row>
    <row r="63" spans="2:15" x14ac:dyDescent="0.2">
      <c r="B63" s="1820" t="s">
        <v>482</v>
      </c>
      <c r="C63" s="1820"/>
      <c r="D63" s="1820"/>
      <c r="E63" s="1820"/>
      <c r="O63" s="117"/>
    </row>
    <row r="64" spans="2:15" x14ac:dyDescent="0.2">
      <c r="B64" s="1158" t="s">
        <v>438</v>
      </c>
      <c r="C64" s="1158" t="s">
        <v>473</v>
      </c>
      <c r="D64" s="1158" t="s">
        <v>474</v>
      </c>
      <c r="E64" s="1158" t="s">
        <v>160</v>
      </c>
      <c r="O64" s="117"/>
    </row>
    <row r="65" spans="2:15" x14ac:dyDescent="0.2">
      <c r="B65" t="s">
        <v>475</v>
      </c>
      <c r="C65" s="86">
        <v>12.5</v>
      </c>
      <c r="D65" s="117">
        <f>'OM Assumptions'!F82</f>
        <v>1561.7658113876269</v>
      </c>
      <c r="E65" s="59">
        <f>C65*D65</f>
        <v>19522.072642345334</v>
      </c>
      <c r="O65" s="117"/>
    </row>
    <row r="66" spans="2:15" x14ac:dyDescent="0.2">
      <c r="B66" t="s">
        <v>477</v>
      </c>
      <c r="C66" s="86">
        <v>19.239999999999998</v>
      </c>
      <c r="D66" s="136">
        <f>'OM Assumptions'!F84</f>
        <v>156.17658113876269</v>
      </c>
      <c r="E66" s="59">
        <f>D66*C66</f>
        <v>3004.8374211097939</v>
      </c>
    </row>
    <row r="67" spans="2:15" x14ac:dyDescent="0.2">
      <c r="B67" t="s">
        <v>479</v>
      </c>
      <c r="C67" s="86"/>
      <c r="E67" s="59">
        <f>SUM(E65:E66)</f>
        <v>22526.910063455129</v>
      </c>
    </row>
    <row r="69" spans="2:15" x14ac:dyDescent="0.2">
      <c r="B69" s="1820" t="s">
        <v>483</v>
      </c>
      <c r="C69" s="1820"/>
      <c r="D69" s="1820"/>
      <c r="E69" s="1820"/>
    </row>
    <row r="70" spans="2:15" x14ac:dyDescent="0.2">
      <c r="B70" s="1158" t="s">
        <v>438</v>
      </c>
      <c r="C70" s="1158" t="s">
        <v>473</v>
      </c>
      <c r="D70" s="1158" t="s">
        <v>474</v>
      </c>
      <c r="E70" s="1158" t="s">
        <v>160</v>
      </c>
    </row>
    <row r="71" spans="2:15" x14ac:dyDescent="0.2">
      <c r="B71" t="s">
        <v>475</v>
      </c>
      <c r="C71" s="86">
        <v>12.5</v>
      </c>
      <c r="D71" s="117">
        <f>'OM Assumptions'!G82</f>
        <v>2173.4487179487178</v>
      </c>
      <c r="E71" s="1351">
        <f>C71*D71</f>
        <v>27168.108974358973</v>
      </c>
    </row>
    <row r="72" spans="2:15" x14ac:dyDescent="0.2">
      <c r="B72" t="s">
        <v>477</v>
      </c>
      <c r="C72" s="86">
        <v>19.239999999999998</v>
      </c>
      <c r="D72" s="136">
        <f>'OM Assumptions'!G84</f>
        <v>217.34487179487178</v>
      </c>
      <c r="E72" s="1351">
        <f>D72*C72</f>
        <v>4181.7153333333326</v>
      </c>
    </row>
    <row r="73" spans="2:15" x14ac:dyDescent="0.2">
      <c r="B73" t="s">
        <v>479</v>
      </c>
      <c r="C73" s="86"/>
      <c r="E73" s="1351">
        <f>SUM(E71:E72)</f>
        <v>31349.824307692306</v>
      </c>
    </row>
    <row r="77" spans="2:15" x14ac:dyDescent="0.2">
      <c r="E77" s="117"/>
    </row>
    <row r="78" spans="2:15" x14ac:dyDescent="0.2">
      <c r="E78" s="117"/>
    </row>
    <row r="79" spans="2:15" x14ac:dyDescent="0.2">
      <c r="E79" s="117"/>
    </row>
    <row r="80" spans="2:15" x14ac:dyDescent="0.2">
      <c r="E80" s="117"/>
    </row>
    <row r="81" spans="5:5" x14ac:dyDescent="0.2">
      <c r="E81" s="117"/>
    </row>
    <row r="82" spans="5:5" x14ac:dyDescent="0.2">
      <c r="E82" s="117"/>
    </row>
  </sheetData>
  <mergeCells count="8">
    <mergeCell ref="B3:I3"/>
    <mergeCell ref="B69:E69"/>
    <mergeCell ref="B16:I16"/>
    <mergeCell ref="B5:I5"/>
    <mergeCell ref="B45:E45"/>
    <mergeCell ref="B51:E51"/>
    <mergeCell ref="B57:E57"/>
    <mergeCell ref="B63:E63"/>
  </mergeCells>
  <hyperlinks>
    <hyperlink ref="F47" r:id="rId1" xr:uid="{B3910784-76E0-3D4F-B768-3C30D3F3B479}"/>
    <hyperlink ref="F48" r:id="rId2" xr:uid="{72CCA9BA-3614-EE45-9CD8-7A08C7C7D831}"/>
    <hyperlink ref="B1" location="Index!A1" display="Back to Index" xr:uid="{BDD05017-EEF0-495F-8429-F195ACAD49DF}"/>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66182-A041-B748-9B71-A1A4E663AE81}">
  <sheetPr published="0">
    <tabColor rgb="FFFF0000"/>
  </sheetPr>
  <dimension ref="B1:AT68"/>
  <sheetViews>
    <sheetView showGridLines="0" zoomScale="80" zoomScaleNormal="80" workbookViewId="0">
      <selection activeCell="G37" sqref="G37"/>
    </sheetView>
  </sheetViews>
  <sheetFormatPr baseColWidth="10" defaultColWidth="8.83203125" defaultRowHeight="15" x14ac:dyDescent="0.2"/>
  <cols>
    <col min="1" max="1" width="1.83203125" customWidth="1"/>
    <col min="2" max="2" width="34.5" customWidth="1"/>
    <col min="3" max="3" width="12.1640625" customWidth="1"/>
    <col min="4" max="6" width="17.1640625" customWidth="1"/>
    <col min="7" max="7" width="12.83203125" customWidth="1"/>
    <col min="8" max="8" width="255.6640625" bestFit="1" customWidth="1"/>
    <col min="9" max="9" width="34.83203125" customWidth="1"/>
    <col min="10" max="10" width="10.5" customWidth="1"/>
    <col min="11" max="11" width="10" customWidth="1"/>
    <col min="12" max="12" width="12" customWidth="1"/>
    <col min="13" max="13" width="14.33203125" customWidth="1"/>
    <col min="14" max="14" width="11.5" customWidth="1"/>
    <col min="15" max="15" width="10.83203125" customWidth="1"/>
    <col min="16" max="16" width="16.5" customWidth="1"/>
    <col min="17" max="17" width="10.83203125" customWidth="1"/>
    <col min="23" max="23" width="15.83203125" customWidth="1"/>
    <col min="24" max="24" width="12.5" customWidth="1"/>
    <col min="25" max="27" width="11.83203125" customWidth="1"/>
    <col min="30" max="30" width="17.83203125" customWidth="1"/>
    <col min="32" max="34" width="11.5" customWidth="1"/>
    <col min="35" max="35" width="10" customWidth="1"/>
    <col min="37" max="37" width="18.33203125" customWidth="1"/>
  </cols>
  <sheetData>
    <row r="1" spans="2:46" x14ac:dyDescent="0.2">
      <c r="B1" s="56" t="s">
        <v>37</v>
      </c>
    </row>
    <row r="2" spans="2:46" x14ac:dyDescent="0.2">
      <c r="B2" s="56"/>
    </row>
    <row r="3" spans="2:46" x14ac:dyDescent="0.2">
      <c r="B3" s="1822" t="s">
        <v>484</v>
      </c>
      <c r="C3" s="1822"/>
      <c r="D3" s="1822"/>
      <c r="E3" s="1822"/>
      <c r="F3" s="1822"/>
      <c r="G3" s="1822"/>
      <c r="H3" s="1822"/>
    </row>
    <row r="5" spans="2:46" x14ac:dyDescent="0.2">
      <c r="B5" s="1068" t="s">
        <v>485</v>
      </c>
      <c r="C5" s="1068" t="s">
        <v>486</v>
      </c>
      <c r="D5" s="1068" t="s">
        <v>487</v>
      </c>
      <c r="E5" s="1068" t="s">
        <v>488</v>
      </c>
      <c r="F5" s="1068" t="s">
        <v>489</v>
      </c>
      <c r="G5" s="1068" t="s">
        <v>490</v>
      </c>
      <c r="H5" s="1068" t="s">
        <v>491</v>
      </c>
      <c r="AL5" s="938"/>
      <c r="AM5" s="938"/>
      <c r="AN5" s="938"/>
      <c r="AO5" s="938"/>
      <c r="AT5" s="5"/>
    </row>
    <row r="6" spans="2:46" x14ac:dyDescent="0.2">
      <c r="B6" t="s">
        <v>492</v>
      </c>
      <c r="C6">
        <v>1</v>
      </c>
      <c r="D6" s="86">
        <v>309.99</v>
      </c>
      <c r="E6" s="14">
        <v>150</v>
      </c>
      <c r="F6" s="9">
        <v>5</v>
      </c>
      <c r="G6" s="86">
        <f>(D6+E6)*C6</f>
        <v>459.99</v>
      </c>
      <c r="H6" s="56" t="s">
        <v>493</v>
      </c>
      <c r="J6" t="s">
        <v>494</v>
      </c>
    </row>
    <row r="7" spans="2:46" x14ac:dyDescent="0.2">
      <c r="B7" s="3" t="s">
        <v>495</v>
      </c>
      <c r="C7">
        <v>1</v>
      </c>
      <c r="D7" s="86">
        <v>640</v>
      </c>
      <c r="E7" s="86">
        <v>38.6</v>
      </c>
      <c r="F7" s="9">
        <v>5</v>
      </c>
      <c r="G7" s="86">
        <f t="shared" ref="G7:G20" si="0">(D7+E7)*C7</f>
        <v>678.6</v>
      </c>
      <c r="H7" s="56" t="s">
        <v>496</v>
      </c>
      <c r="J7" t="s">
        <v>494</v>
      </c>
    </row>
    <row r="8" spans="2:46" x14ac:dyDescent="0.2">
      <c r="B8" s="3" t="s">
        <v>497</v>
      </c>
      <c r="C8">
        <v>1</v>
      </c>
      <c r="D8" s="86">
        <v>219.99</v>
      </c>
      <c r="E8" s="86">
        <f>0</f>
        <v>0</v>
      </c>
      <c r="F8" s="9">
        <v>5</v>
      </c>
      <c r="G8" s="86">
        <f t="shared" si="0"/>
        <v>219.99</v>
      </c>
      <c r="H8" s="56" t="s">
        <v>498</v>
      </c>
      <c r="J8" t="s">
        <v>494</v>
      </c>
    </row>
    <row r="9" spans="2:46" x14ac:dyDescent="0.2">
      <c r="B9" s="3" t="s">
        <v>499</v>
      </c>
      <c r="C9">
        <v>1</v>
      </c>
      <c r="D9" s="86">
        <v>393.8</v>
      </c>
      <c r="E9" s="86">
        <f>0</f>
        <v>0</v>
      </c>
      <c r="F9" s="9">
        <v>5</v>
      </c>
      <c r="G9" s="86">
        <f t="shared" si="0"/>
        <v>393.8</v>
      </c>
      <c r="H9" s="56" t="s">
        <v>500</v>
      </c>
      <c r="J9" t="s">
        <v>494</v>
      </c>
    </row>
    <row r="10" spans="2:46" x14ac:dyDescent="0.2">
      <c r="B10" s="3" t="s">
        <v>501</v>
      </c>
      <c r="C10">
        <v>1</v>
      </c>
      <c r="D10" s="86">
        <v>10000</v>
      </c>
      <c r="E10" s="86">
        <v>600</v>
      </c>
      <c r="F10" s="9">
        <v>5</v>
      </c>
      <c r="G10" s="86">
        <f t="shared" si="0"/>
        <v>10600</v>
      </c>
    </row>
    <row r="11" spans="2:46" x14ac:dyDescent="0.2">
      <c r="B11" t="s">
        <v>502</v>
      </c>
      <c r="C11">
        <v>1</v>
      </c>
      <c r="D11" s="86">
        <v>1099</v>
      </c>
      <c r="E11" s="86">
        <f>0</f>
        <v>0</v>
      </c>
      <c r="F11" s="9">
        <v>5</v>
      </c>
      <c r="G11" s="86">
        <f t="shared" si="0"/>
        <v>1099</v>
      </c>
      <c r="H11" s="56" t="s">
        <v>503</v>
      </c>
      <c r="J11" t="s">
        <v>494</v>
      </c>
    </row>
    <row r="12" spans="2:46" x14ac:dyDescent="0.2">
      <c r="B12" s="3" t="s">
        <v>504</v>
      </c>
      <c r="C12">
        <v>1</v>
      </c>
      <c r="D12" s="86">
        <v>436</v>
      </c>
      <c r="E12" s="14">
        <f>0</f>
        <v>0</v>
      </c>
      <c r="F12" s="9">
        <v>5</v>
      </c>
      <c r="G12" s="86">
        <f t="shared" si="0"/>
        <v>436</v>
      </c>
      <c r="H12" s="56" t="s">
        <v>505</v>
      </c>
      <c r="J12" t="s">
        <v>494</v>
      </c>
    </row>
    <row r="13" spans="2:46" x14ac:dyDescent="0.2">
      <c r="B13" t="s">
        <v>506</v>
      </c>
      <c r="C13">
        <v>1</v>
      </c>
      <c r="D13" s="86">
        <v>341.95</v>
      </c>
      <c r="E13" s="86">
        <f>63.99</f>
        <v>63.99</v>
      </c>
      <c r="F13" s="9">
        <v>5</v>
      </c>
      <c r="G13" s="86">
        <f t="shared" si="0"/>
        <v>405.94</v>
      </c>
      <c r="H13" s="56" t="s">
        <v>507</v>
      </c>
      <c r="J13" t="s">
        <v>494</v>
      </c>
      <c r="K13" s="86"/>
      <c r="L13" s="86"/>
      <c r="M13" s="86"/>
      <c r="N13" s="86"/>
      <c r="R13" s="86"/>
      <c r="S13" s="86"/>
      <c r="T13" s="86"/>
      <c r="U13" s="86"/>
      <c r="Y13" s="86"/>
      <c r="Z13" s="86"/>
      <c r="AA13" s="86"/>
      <c r="AB13" s="86"/>
      <c r="AF13" s="86"/>
      <c r="AG13" s="86"/>
      <c r="AH13" s="86"/>
      <c r="AI13" s="86"/>
    </row>
    <row r="14" spans="2:46" x14ac:dyDescent="0.2">
      <c r="B14" t="s">
        <v>508</v>
      </c>
      <c r="C14">
        <v>5</v>
      </c>
      <c r="D14" s="86">
        <v>304.17</v>
      </c>
      <c r="E14" s="86">
        <f>122</f>
        <v>122</v>
      </c>
      <c r="F14" s="9">
        <v>5</v>
      </c>
      <c r="G14" s="86">
        <f t="shared" si="0"/>
        <v>2130.85</v>
      </c>
      <c r="H14" s="56" t="s">
        <v>509</v>
      </c>
      <c r="J14" t="s">
        <v>494</v>
      </c>
      <c r="K14" s="86"/>
      <c r="L14" s="86"/>
      <c r="M14" s="86"/>
      <c r="N14" s="86"/>
      <c r="R14" s="86"/>
      <c r="S14" s="86"/>
      <c r="T14" s="86"/>
      <c r="U14" s="86"/>
      <c r="Y14" s="86"/>
      <c r="Z14" s="86"/>
      <c r="AA14" s="86"/>
      <c r="AB14" s="86"/>
      <c r="AF14" s="86"/>
      <c r="AG14" s="86"/>
      <c r="AH14" s="86"/>
      <c r="AI14" s="86"/>
    </row>
    <row r="15" spans="2:46" x14ac:dyDescent="0.2">
      <c r="B15" t="s">
        <v>510</v>
      </c>
      <c r="C15">
        <v>1</v>
      </c>
      <c r="D15" s="86">
        <v>284.99</v>
      </c>
      <c r="E15" s="86">
        <f>0</f>
        <v>0</v>
      </c>
      <c r="F15" s="9">
        <v>5</v>
      </c>
      <c r="G15" s="86">
        <f t="shared" si="0"/>
        <v>284.99</v>
      </c>
      <c r="H15" s="56" t="s">
        <v>511</v>
      </c>
      <c r="J15" t="s">
        <v>494</v>
      </c>
      <c r="K15" s="86"/>
      <c r="L15" s="86"/>
      <c r="M15" s="86"/>
      <c r="N15" s="86"/>
      <c r="R15" s="86"/>
      <c r="S15" s="86"/>
      <c r="T15" s="86"/>
      <c r="U15" s="86"/>
      <c r="Y15" s="86"/>
      <c r="Z15" s="86"/>
      <c r="AA15" s="86"/>
      <c r="AB15" s="86"/>
      <c r="AF15" s="86"/>
      <c r="AG15" s="86"/>
      <c r="AH15" s="86"/>
      <c r="AI15" s="86"/>
    </row>
    <row r="16" spans="2:46" x14ac:dyDescent="0.2">
      <c r="B16" t="s">
        <v>512</v>
      </c>
      <c r="C16">
        <v>3</v>
      </c>
      <c r="D16" s="86">
        <v>221.95</v>
      </c>
      <c r="E16" s="86">
        <f>63.99</f>
        <v>63.99</v>
      </c>
      <c r="F16" s="9">
        <v>5</v>
      </c>
      <c r="G16" s="86">
        <f t="shared" si="0"/>
        <v>857.81999999999994</v>
      </c>
      <c r="H16" s="56" t="s">
        <v>513</v>
      </c>
      <c r="J16" t="s">
        <v>494</v>
      </c>
      <c r="K16" s="86"/>
      <c r="L16" s="86"/>
      <c r="M16" s="86"/>
      <c r="N16" s="86"/>
      <c r="R16" s="86"/>
      <c r="S16" s="86"/>
      <c r="T16" s="86"/>
      <c r="U16" s="86"/>
      <c r="Y16" s="86"/>
      <c r="Z16" s="86"/>
      <c r="AA16" s="86"/>
      <c r="AB16" s="86"/>
      <c r="AF16" s="86"/>
      <c r="AG16" s="86"/>
      <c r="AH16" s="86"/>
      <c r="AI16" s="86"/>
    </row>
    <row r="17" spans="2:35" x14ac:dyDescent="0.2">
      <c r="B17" t="s">
        <v>514</v>
      </c>
      <c r="C17">
        <v>1</v>
      </c>
      <c r="D17" s="86">
        <v>125.65</v>
      </c>
      <c r="E17" s="86">
        <f>6.5</f>
        <v>6.5</v>
      </c>
      <c r="F17" s="9">
        <v>5</v>
      </c>
      <c r="G17" s="86">
        <f t="shared" si="0"/>
        <v>132.15</v>
      </c>
      <c r="H17" s="56" t="s">
        <v>515</v>
      </c>
      <c r="J17" t="s">
        <v>494</v>
      </c>
      <c r="K17" s="86"/>
      <c r="L17" s="86"/>
      <c r="M17" s="86"/>
      <c r="N17" s="86"/>
      <c r="R17" s="86"/>
      <c r="S17" s="86"/>
      <c r="T17" s="86"/>
      <c r="U17" s="86"/>
      <c r="Y17" s="86"/>
      <c r="Z17" s="86"/>
      <c r="AA17" s="86"/>
      <c r="AB17" s="86"/>
      <c r="AF17" s="86"/>
      <c r="AG17" s="86"/>
      <c r="AH17" s="86"/>
      <c r="AI17" s="86"/>
    </row>
    <row r="18" spans="2:35" x14ac:dyDescent="0.2">
      <c r="B18" t="s">
        <v>516</v>
      </c>
      <c r="C18">
        <v>5</v>
      </c>
      <c r="D18" s="86">
        <v>295</v>
      </c>
      <c r="E18" s="86">
        <f>0</f>
        <v>0</v>
      </c>
      <c r="F18" s="9">
        <v>5</v>
      </c>
      <c r="G18" s="86">
        <f t="shared" si="0"/>
        <v>1475</v>
      </c>
      <c r="H18" s="56" t="s">
        <v>517</v>
      </c>
      <c r="J18" t="s">
        <v>494</v>
      </c>
      <c r="K18" s="86"/>
      <c r="L18" s="86"/>
      <c r="M18" s="86"/>
      <c r="N18" s="86"/>
      <c r="R18" s="86"/>
      <c r="S18" s="86"/>
      <c r="T18" s="86"/>
      <c r="U18" s="86"/>
      <c r="Y18" s="86"/>
      <c r="Z18" s="86"/>
      <c r="AA18" s="86"/>
      <c r="AB18" s="86"/>
      <c r="AF18" s="86"/>
      <c r="AG18" s="86"/>
      <c r="AH18" s="86"/>
      <c r="AI18" s="86"/>
    </row>
    <row r="19" spans="2:35" x14ac:dyDescent="0.2">
      <c r="B19" t="s">
        <v>518</v>
      </c>
      <c r="C19">
        <v>2</v>
      </c>
      <c r="D19" s="86">
        <v>259.99</v>
      </c>
      <c r="E19" s="86">
        <v>0</v>
      </c>
      <c r="F19" s="9">
        <v>5</v>
      </c>
      <c r="G19" s="86">
        <f t="shared" si="0"/>
        <v>519.98</v>
      </c>
      <c r="H19" s="56" t="s">
        <v>519</v>
      </c>
      <c r="J19" t="s">
        <v>494</v>
      </c>
      <c r="K19" s="86"/>
      <c r="L19" s="86"/>
      <c r="M19" s="86"/>
      <c r="N19" s="86"/>
      <c r="R19" s="86"/>
      <c r="S19" s="86"/>
      <c r="T19" s="86"/>
      <c r="U19" s="86"/>
      <c r="Y19" s="86"/>
      <c r="Z19" s="86"/>
      <c r="AA19" s="86"/>
      <c r="AB19" s="86"/>
      <c r="AF19" s="86"/>
      <c r="AG19" s="86"/>
      <c r="AH19" s="86"/>
      <c r="AI19" s="86"/>
    </row>
    <row r="20" spans="2:35" x14ac:dyDescent="0.2">
      <c r="B20" t="s">
        <v>520</v>
      </c>
      <c r="C20">
        <v>1</v>
      </c>
      <c r="D20" s="86">
        <v>516.72</v>
      </c>
      <c r="E20" s="86">
        <f>42.63</f>
        <v>42.63</v>
      </c>
      <c r="F20" s="9">
        <v>5</v>
      </c>
      <c r="G20" s="86">
        <f t="shared" si="0"/>
        <v>559.35</v>
      </c>
      <c r="K20" s="86"/>
      <c r="L20" s="86"/>
      <c r="M20" s="86"/>
      <c r="N20" s="86"/>
      <c r="R20" s="86"/>
      <c r="S20" s="86"/>
      <c r="T20" s="86"/>
      <c r="U20" s="86"/>
      <c r="Y20" s="86"/>
      <c r="Z20" s="86"/>
      <c r="AA20" s="86"/>
      <c r="AB20" s="86"/>
      <c r="AF20" s="86"/>
      <c r="AG20" s="86"/>
      <c r="AH20" s="86"/>
      <c r="AI20" s="86"/>
    </row>
    <row r="21" spans="2:35" x14ac:dyDescent="0.2">
      <c r="B21" s="3" t="s">
        <v>521</v>
      </c>
      <c r="C21">
        <v>2</v>
      </c>
      <c r="D21" s="8">
        <v>180</v>
      </c>
      <c r="E21" s="8">
        <v>0</v>
      </c>
      <c r="F21" s="9">
        <v>5</v>
      </c>
      <c r="G21" s="86">
        <f>(D21+E21)*C21</f>
        <v>360</v>
      </c>
      <c r="I21" s="3"/>
      <c r="K21" s="86"/>
      <c r="L21" s="86"/>
      <c r="M21" s="86"/>
      <c r="N21" s="86"/>
      <c r="P21" s="3"/>
      <c r="R21" s="86"/>
      <c r="S21" s="86"/>
      <c r="T21" s="86"/>
      <c r="U21" s="86"/>
      <c r="W21" s="3"/>
      <c r="Y21" s="86"/>
      <c r="Z21" s="86"/>
      <c r="AA21" s="86"/>
      <c r="AB21" s="86"/>
      <c r="AD21" s="3"/>
      <c r="AF21" s="86"/>
      <c r="AG21" s="86"/>
      <c r="AH21" s="86"/>
      <c r="AI21" s="86"/>
    </row>
    <row r="22" spans="2:35" x14ac:dyDescent="0.2">
      <c r="D22" s="86"/>
      <c r="E22" s="86"/>
      <c r="F22" s="86"/>
      <c r="G22" s="86"/>
      <c r="K22" s="86"/>
      <c r="L22" s="86"/>
      <c r="M22" s="86"/>
      <c r="N22" s="86"/>
      <c r="R22" s="86"/>
      <c r="S22" s="86"/>
      <c r="T22" s="86"/>
      <c r="U22" s="86"/>
      <c r="Y22" s="86"/>
      <c r="Z22" s="86"/>
      <c r="AA22" s="86"/>
      <c r="AB22" s="86"/>
      <c r="AF22" s="86"/>
      <c r="AG22" s="86"/>
      <c r="AH22" s="86"/>
      <c r="AI22" s="86"/>
    </row>
    <row r="23" spans="2:35" x14ac:dyDescent="0.2">
      <c r="B23" s="227" t="s">
        <v>522</v>
      </c>
      <c r="C23" s="137"/>
      <c r="D23" s="148"/>
      <c r="E23" s="148"/>
      <c r="F23" s="148"/>
      <c r="G23" s="1314">
        <f>SUM(G6:G22)</f>
        <v>20613.460000000003</v>
      </c>
      <c r="N23" s="86"/>
      <c r="U23" s="86"/>
      <c r="AB23" s="86"/>
      <c r="AI23" s="86"/>
    </row>
    <row r="24" spans="2:35" x14ac:dyDescent="0.2">
      <c r="G24" s="86"/>
      <c r="N24" s="86"/>
      <c r="U24" s="86"/>
      <c r="AB24" s="86"/>
      <c r="AI24" s="86"/>
    </row>
    <row r="25" spans="2:35" x14ac:dyDescent="0.2">
      <c r="G25" s="86"/>
      <c r="N25" s="86"/>
      <c r="U25" s="86"/>
      <c r="AB25" s="86"/>
      <c r="AI25" s="86"/>
    </row>
    <row r="26" spans="2:35" x14ac:dyDescent="0.2">
      <c r="B26" s="1068" t="s">
        <v>523</v>
      </c>
      <c r="C26" s="1068" t="s">
        <v>486</v>
      </c>
      <c r="D26" s="1068" t="s">
        <v>487</v>
      </c>
      <c r="E26" s="1068" t="s">
        <v>488</v>
      </c>
      <c r="F26" s="1068" t="s">
        <v>489</v>
      </c>
      <c r="G26" s="1068" t="s">
        <v>490</v>
      </c>
    </row>
    <row r="27" spans="2:35" x14ac:dyDescent="0.2">
      <c r="B27" t="s">
        <v>524</v>
      </c>
      <c r="C27">
        <v>2</v>
      </c>
      <c r="D27" s="86">
        <v>259.99</v>
      </c>
      <c r="E27" s="86">
        <f>E19</f>
        <v>0</v>
      </c>
      <c r="F27">
        <v>5</v>
      </c>
      <c r="G27" s="86">
        <f>C27*(D27+E27)</f>
        <v>519.98</v>
      </c>
    </row>
    <row r="28" spans="2:35" x14ac:dyDescent="0.2">
      <c r="B28" s="3" t="s">
        <v>512</v>
      </c>
      <c r="C28">
        <v>1</v>
      </c>
      <c r="D28" s="86">
        <v>221.95</v>
      </c>
      <c r="E28" s="86">
        <f>E16</f>
        <v>63.99</v>
      </c>
      <c r="F28">
        <v>5</v>
      </c>
      <c r="G28" s="86">
        <f>C28*(D28+E28)</f>
        <v>285.94</v>
      </c>
    </row>
    <row r="29" spans="2:35" x14ac:dyDescent="0.2">
      <c r="B29" s="3" t="s">
        <v>516</v>
      </c>
      <c r="C29">
        <v>1</v>
      </c>
      <c r="D29" s="86">
        <v>295</v>
      </c>
      <c r="E29" s="86">
        <f>E18</f>
        <v>0</v>
      </c>
      <c r="F29">
        <v>5</v>
      </c>
      <c r="G29" s="86">
        <f>C29*(D29+E29)</f>
        <v>295</v>
      </c>
    </row>
    <row r="30" spans="2:35" x14ac:dyDescent="0.2">
      <c r="B30" s="3"/>
      <c r="D30" s="86"/>
      <c r="E30" s="86"/>
      <c r="F30" s="86"/>
      <c r="G30" s="86"/>
    </row>
    <row r="31" spans="2:35" x14ac:dyDescent="0.2">
      <c r="B31" s="227" t="s">
        <v>522</v>
      </c>
      <c r="C31" s="137"/>
      <c r="D31" s="148"/>
      <c r="E31" s="148"/>
      <c r="F31" s="148"/>
      <c r="G31" s="148">
        <f>SUM(G27:G29)</f>
        <v>1100.92</v>
      </c>
    </row>
    <row r="34" spans="2:16" x14ac:dyDescent="0.2">
      <c r="B34" s="1068" t="s">
        <v>525</v>
      </c>
      <c r="C34" s="1068" t="s">
        <v>486</v>
      </c>
      <c r="D34" s="1068" t="s">
        <v>487</v>
      </c>
      <c r="E34" s="1068" t="s">
        <v>488</v>
      </c>
      <c r="F34" s="1068" t="s">
        <v>489</v>
      </c>
      <c r="G34" s="1068" t="s">
        <v>490</v>
      </c>
    </row>
    <row r="35" spans="2:16" x14ac:dyDescent="0.2">
      <c r="B35" t="s">
        <v>508</v>
      </c>
      <c r="C35">
        <v>1</v>
      </c>
      <c r="D35" s="86">
        <f>D19</f>
        <v>259.99</v>
      </c>
      <c r="E35" s="86">
        <f>E19</f>
        <v>0</v>
      </c>
      <c r="F35">
        <v>5</v>
      </c>
      <c r="G35" s="86">
        <f>(D35+E35)*C35</f>
        <v>259.99</v>
      </c>
    </row>
    <row r="36" spans="2:16" x14ac:dyDescent="0.2">
      <c r="B36" s="3"/>
      <c r="D36" s="86"/>
      <c r="E36" s="86"/>
      <c r="F36" s="86"/>
      <c r="G36" s="86"/>
    </row>
    <row r="37" spans="2:16" x14ac:dyDescent="0.2">
      <c r="B37" s="227" t="s">
        <v>522</v>
      </c>
      <c r="C37" s="137"/>
      <c r="D37" s="148"/>
      <c r="E37" s="148"/>
      <c r="F37" s="148"/>
      <c r="G37" s="148">
        <f>SUM(G35:G35)</f>
        <v>259.99</v>
      </c>
      <c r="I37" s="79"/>
      <c r="J37" s="136"/>
      <c r="N37" s="86"/>
    </row>
    <row r="38" spans="2:16" x14ac:dyDescent="0.2">
      <c r="B38" s="11"/>
      <c r="C38" s="136"/>
      <c r="D38" s="136"/>
      <c r="E38" s="136"/>
      <c r="F38" s="136"/>
      <c r="I38" s="79"/>
      <c r="J38" s="985"/>
      <c r="K38" s="59"/>
      <c r="L38" s="59"/>
      <c r="M38" s="59"/>
      <c r="N38" s="59"/>
      <c r="O38" s="59"/>
      <c r="P38" s="59"/>
    </row>
    <row r="39" spans="2:16" x14ac:dyDescent="0.2">
      <c r="B39" s="11"/>
      <c r="C39" s="136"/>
      <c r="D39" s="136"/>
      <c r="E39" s="136"/>
      <c r="F39" s="136"/>
      <c r="I39" s="43"/>
      <c r="J39" s="43"/>
      <c r="K39" s="86"/>
    </row>
    <row r="40" spans="2:16" x14ac:dyDescent="0.2">
      <c r="B40" s="1068" t="s">
        <v>526</v>
      </c>
      <c r="C40" s="1068" t="s">
        <v>486</v>
      </c>
      <c r="D40" s="1068" t="s">
        <v>487</v>
      </c>
      <c r="E40" s="1068" t="s">
        <v>488</v>
      </c>
      <c r="F40" s="1068" t="s">
        <v>489</v>
      </c>
      <c r="G40" s="1068" t="s">
        <v>490</v>
      </c>
      <c r="I40" s="112"/>
      <c r="J40" s="112"/>
    </row>
    <row r="41" spans="2:16" x14ac:dyDescent="0.2">
      <c r="B41" t="s">
        <v>524</v>
      </c>
      <c r="C41">
        <v>2</v>
      </c>
      <c r="D41" s="86">
        <v>259.99</v>
      </c>
      <c r="E41" s="86">
        <f>E19</f>
        <v>0</v>
      </c>
      <c r="F41">
        <v>5</v>
      </c>
      <c r="G41" s="86">
        <f t="shared" ref="G41:G44" si="1">(D41+E41)*C41</f>
        <v>519.98</v>
      </c>
      <c r="I41" s="79"/>
      <c r="J41" s="79"/>
    </row>
    <row r="42" spans="2:16" x14ac:dyDescent="0.2">
      <c r="B42" s="3" t="s">
        <v>512</v>
      </c>
      <c r="C42">
        <v>1</v>
      </c>
      <c r="D42" s="86">
        <v>221.95</v>
      </c>
      <c r="E42" s="86">
        <f>E16</f>
        <v>63.99</v>
      </c>
      <c r="F42">
        <v>5</v>
      </c>
      <c r="G42" s="86">
        <f t="shared" si="1"/>
        <v>285.94</v>
      </c>
      <c r="I42" s="79"/>
      <c r="J42" s="79"/>
    </row>
    <row r="43" spans="2:16" x14ac:dyDescent="0.2">
      <c r="B43" s="3" t="s">
        <v>516</v>
      </c>
      <c r="C43">
        <v>1</v>
      </c>
      <c r="D43" s="86">
        <v>295</v>
      </c>
      <c r="E43" s="86">
        <f>E18</f>
        <v>0</v>
      </c>
      <c r="F43">
        <v>5</v>
      </c>
      <c r="G43" s="86">
        <f t="shared" si="1"/>
        <v>295</v>
      </c>
      <c r="I43" s="79"/>
      <c r="J43" s="79"/>
    </row>
    <row r="44" spans="2:16" x14ac:dyDescent="0.2">
      <c r="B44" s="3" t="s">
        <v>508</v>
      </c>
      <c r="C44">
        <v>3</v>
      </c>
      <c r="D44" s="86">
        <v>304.17</v>
      </c>
      <c r="E44" s="86">
        <f>E14</f>
        <v>122</v>
      </c>
      <c r="F44">
        <v>5</v>
      </c>
      <c r="G44" s="86">
        <f t="shared" si="1"/>
        <v>1278.51</v>
      </c>
      <c r="I44" s="79"/>
      <c r="J44" s="79"/>
    </row>
    <row r="45" spans="2:16" x14ac:dyDescent="0.2">
      <c r="B45" s="3"/>
      <c r="D45" s="86"/>
      <c r="E45" s="86"/>
      <c r="F45" s="9"/>
      <c r="G45" s="86"/>
      <c r="I45" s="112"/>
      <c r="J45" s="112"/>
    </row>
    <row r="46" spans="2:16" x14ac:dyDescent="0.2">
      <c r="B46" s="227" t="s">
        <v>522</v>
      </c>
      <c r="C46" s="137"/>
      <c r="D46" s="148"/>
      <c r="E46" s="148"/>
      <c r="F46" s="148"/>
      <c r="G46" s="148">
        <f>SUM(G41:G43)</f>
        <v>1100.92</v>
      </c>
      <c r="I46" s="79"/>
      <c r="J46" s="79"/>
    </row>
    <row r="47" spans="2:16" x14ac:dyDescent="0.2">
      <c r="I47" s="79"/>
      <c r="J47" s="79"/>
    </row>
    <row r="48" spans="2:16" x14ac:dyDescent="0.2">
      <c r="I48" s="79"/>
      <c r="J48" s="79"/>
    </row>
    <row r="49" spans="2:10" x14ac:dyDescent="0.2">
      <c r="B49" s="1068" t="s">
        <v>527</v>
      </c>
      <c r="C49" s="1068" t="s">
        <v>486</v>
      </c>
      <c r="D49" s="1068" t="s">
        <v>487</v>
      </c>
      <c r="E49" s="1068" t="s">
        <v>488</v>
      </c>
      <c r="F49" s="1068" t="s">
        <v>489</v>
      </c>
      <c r="G49" s="1068" t="s">
        <v>490</v>
      </c>
      <c r="I49" s="79"/>
      <c r="J49" s="79"/>
    </row>
    <row r="50" spans="2:10" x14ac:dyDescent="0.2">
      <c r="B50" t="s">
        <v>524</v>
      </c>
      <c r="C50">
        <v>2</v>
      </c>
      <c r="D50" s="86">
        <v>259.99</v>
      </c>
      <c r="E50" s="86">
        <f>E19</f>
        <v>0</v>
      </c>
      <c r="F50">
        <v>5</v>
      </c>
      <c r="G50" s="86">
        <f t="shared" ref="G50:G54" si="2">C50*(D50+E50)</f>
        <v>519.98</v>
      </c>
      <c r="I50" s="43"/>
      <c r="J50" s="43"/>
    </row>
    <row r="51" spans="2:10" x14ac:dyDescent="0.2">
      <c r="B51" s="3" t="s">
        <v>512</v>
      </c>
      <c r="C51">
        <v>1</v>
      </c>
      <c r="D51" s="86">
        <v>221.95</v>
      </c>
      <c r="E51" s="86">
        <f>E16</f>
        <v>63.99</v>
      </c>
      <c r="F51">
        <v>5</v>
      </c>
      <c r="G51" s="86">
        <f t="shared" si="2"/>
        <v>285.94</v>
      </c>
      <c r="I51" s="112"/>
      <c r="J51" s="112"/>
    </row>
    <row r="52" spans="2:10" x14ac:dyDescent="0.2">
      <c r="B52" s="3" t="s">
        <v>516</v>
      </c>
      <c r="C52">
        <v>1</v>
      </c>
      <c r="D52" s="86">
        <v>295</v>
      </c>
      <c r="E52" s="86">
        <f>E18</f>
        <v>0</v>
      </c>
      <c r="F52">
        <v>5</v>
      </c>
      <c r="G52" s="86">
        <f t="shared" si="2"/>
        <v>295</v>
      </c>
      <c r="I52" s="79"/>
      <c r="J52" s="79"/>
    </row>
    <row r="53" spans="2:10" x14ac:dyDescent="0.2">
      <c r="B53" s="3" t="s">
        <v>508</v>
      </c>
      <c r="C53">
        <v>6</v>
      </c>
      <c r="D53" s="86">
        <v>304.17</v>
      </c>
      <c r="E53" s="86">
        <f>E14</f>
        <v>122</v>
      </c>
      <c r="F53">
        <v>5</v>
      </c>
      <c r="G53" s="86">
        <f t="shared" si="2"/>
        <v>2557.02</v>
      </c>
      <c r="I53" s="79"/>
      <c r="J53" s="79"/>
    </row>
    <row r="54" spans="2:10" x14ac:dyDescent="0.2">
      <c r="B54" s="3" t="s">
        <v>528</v>
      </c>
      <c r="C54">
        <v>1</v>
      </c>
      <c r="D54" s="86">
        <v>640</v>
      </c>
      <c r="E54" s="86">
        <f>E7</f>
        <v>38.6</v>
      </c>
      <c r="F54">
        <v>5</v>
      </c>
      <c r="G54" s="86">
        <f t="shared" si="2"/>
        <v>678.6</v>
      </c>
      <c r="I54" s="79"/>
      <c r="J54" s="79"/>
    </row>
    <row r="55" spans="2:10" x14ac:dyDescent="0.2">
      <c r="B55" s="3" t="s">
        <v>529</v>
      </c>
      <c r="C55">
        <v>1</v>
      </c>
      <c r="D55" s="86">
        <v>219.99</v>
      </c>
      <c r="E55" s="86">
        <f>E8</f>
        <v>0</v>
      </c>
      <c r="F55">
        <v>5</v>
      </c>
      <c r="G55" s="86">
        <f>C55*(D55+E55)</f>
        <v>219.99</v>
      </c>
      <c r="I55" s="79"/>
      <c r="J55" s="79"/>
    </row>
    <row r="56" spans="2:10" x14ac:dyDescent="0.2">
      <c r="B56" s="3" t="s">
        <v>499</v>
      </c>
      <c r="C56">
        <v>1</v>
      </c>
      <c r="D56" s="86">
        <v>95.95</v>
      </c>
      <c r="E56" s="86">
        <v>0</v>
      </c>
      <c r="F56">
        <v>5</v>
      </c>
      <c r="G56" s="86">
        <v>95.95</v>
      </c>
      <c r="I56" s="79"/>
      <c r="J56" s="79"/>
    </row>
    <row r="57" spans="2:10" x14ac:dyDescent="0.2">
      <c r="B57" s="3"/>
      <c r="D57" s="86"/>
      <c r="E57" s="86"/>
      <c r="G57" s="86"/>
      <c r="I57" s="79"/>
      <c r="J57" s="79"/>
    </row>
    <row r="58" spans="2:10" x14ac:dyDescent="0.2">
      <c r="B58" s="227" t="s">
        <v>522</v>
      </c>
      <c r="C58" s="827"/>
      <c r="D58" s="148"/>
      <c r="E58" s="148"/>
      <c r="F58" s="939"/>
      <c r="G58" s="939">
        <f>SUM(G50:G55)</f>
        <v>4556.53</v>
      </c>
      <c r="I58" s="43"/>
      <c r="J58" s="43"/>
    </row>
    <row r="59" spans="2:10" x14ac:dyDescent="0.2">
      <c r="I59" s="52"/>
      <c r="J59" s="52"/>
    </row>
    <row r="61" spans="2:10" x14ac:dyDescent="0.2">
      <c r="B61" s="1820" t="s">
        <v>530</v>
      </c>
      <c r="C61" s="1820"/>
      <c r="D61" s="1820"/>
      <c r="E61" s="1820"/>
      <c r="F61" s="1820"/>
      <c r="G61" s="1820"/>
    </row>
    <row r="62" spans="2:10" x14ac:dyDescent="0.2">
      <c r="B62">
        <v>1</v>
      </c>
      <c r="C62">
        <v>2</v>
      </c>
      <c r="D62">
        <v>3</v>
      </c>
      <c r="E62">
        <v>4</v>
      </c>
      <c r="F62">
        <v>5</v>
      </c>
      <c r="G62" t="s">
        <v>160</v>
      </c>
    </row>
    <row r="63" spans="2:10" x14ac:dyDescent="0.2">
      <c r="B63" s="59">
        <f>$G$23/5</f>
        <v>4122.6920000000009</v>
      </c>
      <c r="C63" s="86">
        <f>$G$23/5</f>
        <v>4122.6920000000009</v>
      </c>
      <c r="D63" s="86">
        <f>$G$23/5</f>
        <v>4122.6920000000009</v>
      </c>
      <c r="E63" s="86">
        <f>$G$23/5</f>
        <v>4122.6920000000009</v>
      </c>
      <c r="F63" s="86">
        <f>$G$23/5</f>
        <v>4122.6920000000009</v>
      </c>
      <c r="G63" s="59">
        <f>SUM(B63:F63)</f>
        <v>20613.460000000006</v>
      </c>
    </row>
    <row r="64" spans="2:10" x14ac:dyDescent="0.2">
      <c r="C64" s="86">
        <f>$G$31/5</f>
        <v>220.18400000000003</v>
      </c>
      <c r="D64" s="86">
        <f>$G$31/5</f>
        <v>220.18400000000003</v>
      </c>
      <c r="E64" s="86">
        <f>$G$31/5</f>
        <v>220.18400000000003</v>
      </c>
      <c r="F64" s="86">
        <f>$G$31/5</f>
        <v>220.18400000000003</v>
      </c>
      <c r="G64" s="59">
        <f t="shared" ref="G64:G68" si="3">SUM(B64:F64)</f>
        <v>880.7360000000001</v>
      </c>
    </row>
    <row r="65" spans="2:8" x14ac:dyDescent="0.2">
      <c r="C65" s="86"/>
      <c r="D65" s="86">
        <f>$G$37/5</f>
        <v>51.998000000000005</v>
      </c>
      <c r="E65" s="86">
        <f>$G$37/5</f>
        <v>51.998000000000005</v>
      </c>
      <c r="F65" s="86">
        <f>$G$37/5</f>
        <v>51.998000000000005</v>
      </c>
      <c r="G65" s="59">
        <f t="shared" si="3"/>
        <v>155.99400000000003</v>
      </c>
    </row>
    <row r="66" spans="2:8" x14ac:dyDescent="0.2">
      <c r="C66" s="86"/>
      <c r="D66" s="86"/>
      <c r="E66" s="86">
        <f>$G$46/5</f>
        <v>220.18400000000003</v>
      </c>
      <c r="F66" s="86">
        <f>$G$46/5</f>
        <v>220.18400000000003</v>
      </c>
      <c r="G66" s="59">
        <f t="shared" si="3"/>
        <v>440.36800000000005</v>
      </c>
    </row>
    <row r="67" spans="2:8" x14ac:dyDescent="0.2">
      <c r="F67" s="86">
        <f>$G$58/5</f>
        <v>911.30599999999993</v>
      </c>
      <c r="G67" s="59">
        <f t="shared" si="3"/>
        <v>911.30599999999993</v>
      </c>
    </row>
    <row r="68" spans="2:8" x14ac:dyDescent="0.2">
      <c r="B68" s="939">
        <f>SUM(B63)</f>
        <v>4122.6920000000009</v>
      </c>
      <c r="C68" s="939">
        <f>SUM(C63:C64)</f>
        <v>4342.8760000000011</v>
      </c>
      <c r="D68" s="939">
        <f>SUM(D63:D65)</f>
        <v>4394.8740000000007</v>
      </c>
      <c r="E68" s="939">
        <f>SUM(E63:E66)</f>
        <v>4615.0580000000009</v>
      </c>
      <c r="F68" s="939">
        <f>SUM(F63:F67)</f>
        <v>5526.3640000000005</v>
      </c>
      <c r="G68" s="59">
        <f t="shared" si="3"/>
        <v>23001.864000000005</v>
      </c>
      <c r="H68" s="86">
        <f>G68+'OM Information Systems Expenses'!K44</f>
        <v>36603.555666666674</v>
      </c>
    </row>
  </sheetData>
  <mergeCells count="2">
    <mergeCell ref="B61:G61"/>
    <mergeCell ref="B3:H3"/>
  </mergeCells>
  <hyperlinks>
    <hyperlink ref="H6" r:id="rId1" xr:uid="{4384B2CA-600F-504F-A38F-74BE1D8FCCB0}"/>
    <hyperlink ref="H7" r:id="rId2" xr:uid="{A0CB4801-2D17-D34A-8666-DB5CA8646284}"/>
    <hyperlink ref="H8" r:id="rId3" xr:uid="{B511ACEF-DE3A-0E44-8F53-172B8171CE3B}"/>
    <hyperlink ref="H9" r:id="rId4" display="https://www.walmart.com/ip/Brother-SE600-Combination-Computerized-Sewing-and-Embroidery-Machine/589039436?wmlspartner=wlpa&amp;selectedSellerId=0&amp;&amp;adid=22222222227105412282&amp;wl0=&amp;wl1=g&amp;wl2=c&amp;wl3=233147613778&amp;wl4=pla-438310898767&amp;wl5=1018127&amp;wl6=&amp;wl7=&amp;wl8=&amp;wl9=pla&amp;wl10=8175035&amp;wl11=online&amp;wl12=589039436&amp;veh=sem&amp;gclid=Cj0KCQjwrJOMBhCZARIsAGEd4VGGJ1tRCd-dQCJJPcpxb4nb_wkjPpnPa9MOEPRkKMvLfoQHxSf-NX0aAkNPEALw_wcB&amp;gclsrc=aw.ds" xr:uid="{799F5F4A-CEB5-CA4F-BE15-910D4D0310F0}"/>
    <hyperlink ref="H11" r:id="rId5" xr:uid="{A8D37497-EB89-034A-851F-31FCF4EFE201}"/>
    <hyperlink ref="H12" r:id="rId6" xr:uid="{FEC48803-F0B4-FF45-900B-90BCF50FE394}"/>
    <hyperlink ref="H13" r:id="rId7" xr:uid="{3B314989-F14B-5143-8997-E88121C89AE7}"/>
    <hyperlink ref="H14" r:id="rId8" xr:uid="{1DC477AE-FEE2-B944-99B9-8217C05945AC}"/>
    <hyperlink ref="H15" r:id="rId9" xr:uid="{0B60976B-5EF6-854C-A697-343C40C11F19}"/>
    <hyperlink ref="H16" r:id="rId10" xr:uid="{E43A7BCF-5508-AE45-A62B-BBFF00072F6D}"/>
    <hyperlink ref="H17" r:id="rId11" display="https://www.grainger.com/product/3TPA7?ef_id=Cj0KCQjwrJOMBhCZARIsAGEd4VG_Hvy_4JIRQWU_B0fbcpZWajg432mVOUkLrAfd58V31OiB4f7NiF0aAoX3EALw_wcB:G:s&amp;s_kwcid=AL!2966!3!264955916138!!!g!438323478123!&amp;gucid=N:N:PS:Paid:GGL:CSM-2295:4P7A1P:20501231&amp;gclid=Cj0KCQjwrJOMBhCZARIsAGEd4VG_Hvy_4JIRQWU_B0fbcpZWajg432mVOUkLrAfd58V31OiB4f7NiF0aAoX3EALw_wcB&amp;gclsrc=aw.ds" xr:uid="{B6E71BBF-361A-E04D-9A05-F2336C2D56F3}"/>
    <hyperlink ref="H18" r:id="rId12" display="https://www.uline.com/Product/Detail/H-2645BLU/Bin-Organizers/Shelf-Bin-Organizer-36-x-18-x-39-with-7-x-18-x-4-Blue-Bins?pricode=WA9277&amp;gadtype=pla&amp;id=H-2645BLU&amp;gclid=Cj0KCQjwrJOMBhCZARIsAGEd4VEWaLKa7u3SDzr6_E-AiDjg9L33igdpI6DMKYwRM3ChTH_9r6DGp7caAuiSEALw_wcB&amp;gclsrc=aw.ds" xr:uid="{A5EFB3B1-A1CE-2D46-8835-337729213C6A}"/>
    <hyperlink ref="B1" location="Index!A1" display="Back to Index" xr:uid="{09809531-8C10-45EE-A9E9-26B167ABDD0A}"/>
  </hyperlinks>
  <pageMargins left="0.7" right="0.7" top="0.75" bottom="0.75" header="0.3" footer="0.3"/>
  <legacyDrawing r:id="rId1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6CB34-9BFD-41E2-98E0-D63080A80C6A}">
  <sheetPr>
    <tabColor rgb="FFFF0000"/>
  </sheetPr>
  <dimension ref="B1:Q43"/>
  <sheetViews>
    <sheetView showGridLines="0" zoomScale="115" zoomScaleNormal="115" workbookViewId="0">
      <selection activeCell="F17" sqref="F17"/>
    </sheetView>
  </sheetViews>
  <sheetFormatPr baseColWidth="10" defaultColWidth="8.83203125" defaultRowHeight="15" x14ac:dyDescent="0.2"/>
  <cols>
    <col min="1" max="1" width="1.83203125" customWidth="1"/>
    <col min="2" max="2" width="40.6640625" customWidth="1"/>
    <col min="4" max="4" width="10.6640625" customWidth="1"/>
    <col min="5" max="5" width="12.33203125" customWidth="1"/>
    <col min="6" max="9" width="12.1640625" bestFit="1" customWidth="1"/>
    <col min="10" max="10" width="45" customWidth="1"/>
    <col min="11" max="11" width="36.5" customWidth="1"/>
    <col min="12" max="12" width="10.5" customWidth="1"/>
    <col min="13" max="13" width="11.83203125" customWidth="1"/>
    <col min="15" max="15" width="11.83203125" customWidth="1"/>
    <col min="16" max="16" width="38.5" customWidth="1"/>
  </cols>
  <sheetData>
    <row r="1" spans="2:11" x14ac:dyDescent="0.2">
      <c r="B1" s="56" t="s">
        <v>37</v>
      </c>
    </row>
    <row r="3" spans="2:11" x14ac:dyDescent="0.2">
      <c r="B3" s="1818" t="s">
        <v>531</v>
      </c>
      <c r="C3" s="1818"/>
      <c r="D3" s="1818"/>
      <c r="E3" s="1818"/>
      <c r="F3" s="1818"/>
      <c r="G3" s="1818"/>
      <c r="H3" s="1818"/>
      <c r="I3" s="1818"/>
      <c r="J3" s="1818"/>
    </row>
    <row r="5" spans="2:11" x14ac:dyDescent="0.2">
      <c r="B5" s="3"/>
      <c r="C5" s="3"/>
      <c r="D5" s="1819" t="s">
        <v>188</v>
      </c>
      <c r="E5" s="1819"/>
      <c r="F5" s="1819"/>
      <c r="G5" s="1819"/>
      <c r="H5" s="1819"/>
      <c r="I5" s="1819"/>
    </row>
    <row r="6" spans="2:11" x14ac:dyDescent="0.2">
      <c r="B6" s="642"/>
      <c r="C6" s="1007"/>
      <c r="D6" s="1068">
        <v>0</v>
      </c>
      <c r="E6" s="1068">
        <v>1</v>
      </c>
      <c r="F6" s="1068">
        <v>2</v>
      </c>
      <c r="G6" s="1068">
        <v>3</v>
      </c>
      <c r="H6" s="1068">
        <v>4</v>
      </c>
      <c r="I6" s="1068">
        <v>5</v>
      </c>
      <c r="J6" s="1158" t="s">
        <v>491</v>
      </c>
    </row>
    <row r="7" spans="2:11" x14ac:dyDescent="0.2">
      <c r="B7" s="1008" t="s">
        <v>532</v>
      </c>
      <c r="C7" s="1008" t="s">
        <v>389</v>
      </c>
      <c r="D7" s="1008"/>
      <c r="E7" s="1008" t="s">
        <v>533</v>
      </c>
      <c r="F7" s="1008"/>
      <c r="G7" s="1008"/>
      <c r="H7" s="1008"/>
      <c r="I7" s="1008"/>
      <c r="J7" s="1008" t="s">
        <v>491</v>
      </c>
    </row>
    <row r="8" spans="2:11" x14ac:dyDescent="0.2">
      <c r="B8" s="1009" t="s">
        <v>534</v>
      </c>
      <c r="C8" s="1390">
        <v>4.07</v>
      </c>
      <c r="D8" s="991">
        <v>0</v>
      </c>
      <c r="E8" s="990">
        <v>10</v>
      </c>
      <c r="F8" s="990">
        <v>40</v>
      </c>
      <c r="G8" s="990">
        <v>70</v>
      </c>
      <c r="H8" s="9">
        <v>90</v>
      </c>
      <c r="I8" s="990">
        <v>100</v>
      </c>
      <c r="J8" s="56" t="s">
        <v>535</v>
      </c>
      <c r="K8" t="s">
        <v>494</v>
      </c>
    </row>
    <row r="9" spans="2:11" x14ac:dyDescent="0.2">
      <c r="B9" s="79" t="s">
        <v>536</v>
      </c>
      <c r="C9" s="1390">
        <v>0.71</v>
      </c>
      <c r="D9" s="991">
        <v>0</v>
      </c>
      <c r="E9" s="9">
        <v>10</v>
      </c>
      <c r="F9" s="9">
        <v>30</v>
      </c>
      <c r="G9" s="9">
        <v>60</v>
      </c>
      <c r="H9" s="9">
        <v>80</v>
      </c>
      <c r="I9" s="9">
        <v>85</v>
      </c>
      <c r="J9" t="s">
        <v>537</v>
      </c>
      <c r="K9" t="s">
        <v>494</v>
      </c>
    </row>
    <row r="10" spans="2:11" x14ac:dyDescent="0.2">
      <c r="B10" s="79" t="s">
        <v>538</v>
      </c>
      <c r="C10" s="1390">
        <f>0.0798</f>
        <v>7.9799999999999996E-2</v>
      </c>
      <c r="D10" s="991">
        <v>0</v>
      </c>
      <c r="E10" s="9">
        <v>50</v>
      </c>
      <c r="F10" s="9">
        <v>100</v>
      </c>
      <c r="G10" s="9">
        <v>150</v>
      </c>
      <c r="H10" s="9">
        <v>200</v>
      </c>
      <c r="I10" s="9">
        <v>200</v>
      </c>
      <c r="J10" t="s">
        <v>539</v>
      </c>
      <c r="K10" t="s">
        <v>494</v>
      </c>
    </row>
    <row r="11" spans="2:11" x14ac:dyDescent="0.2">
      <c r="B11" s="79" t="s">
        <v>540</v>
      </c>
      <c r="C11" s="1391">
        <v>53.28</v>
      </c>
      <c r="D11" s="597">
        <v>0</v>
      </c>
      <c r="E11" s="9">
        <v>1</v>
      </c>
      <c r="F11" s="9">
        <v>2</v>
      </c>
      <c r="G11" s="9">
        <v>5</v>
      </c>
      <c r="H11" s="9">
        <v>10</v>
      </c>
      <c r="I11" s="9">
        <v>10</v>
      </c>
      <c r="J11" s="56" t="s">
        <v>541</v>
      </c>
      <c r="K11" t="s">
        <v>494</v>
      </c>
    </row>
    <row r="12" spans="2:11" x14ac:dyDescent="0.2">
      <c r="B12" s="827" t="s">
        <v>542</v>
      </c>
      <c r="C12" s="827"/>
      <c r="D12" s="939"/>
      <c r="E12" s="939">
        <f>$C$8*E8+$C$9*E9+$C$10*E10+$C$11*E11</f>
        <v>105.07000000000001</v>
      </c>
      <c r="F12" s="939">
        <f>$C$8*F8+$C$9*F9+$C$10*F10+$C$11*F11</f>
        <v>298.64</v>
      </c>
      <c r="G12" s="939">
        <f>$C$8*G8+$C$9*G9+$C$10*G10+$C$11*G11</f>
        <v>605.87</v>
      </c>
      <c r="H12" s="939">
        <f>$C$8*H8+$C$9*H9+$C$10*H10+$C$11*H11</f>
        <v>971.8599999999999</v>
      </c>
      <c r="I12" s="939">
        <f>$C$8*I8+$C$9*I9+$C$10*I10+$C$11*I11</f>
        <v>1016.1099999999999</v>
      </c>
    </row>
    <row r="13" spans="2:11" x14ac:dyDescent="0.2">
      <c r="B13" s="187"/>
      <c r="C13" s="187"/>
      <c r="D13" s="1386"/>
      <c r="E13" s="1386"/>
      <c r="F13" s="1386"/>
      <c r="G13" s="1386"/>
      <c r="H13" s="1387"/>
      <c r="I13" s="86"/>
    </row>
    <row r="14" spans="2:11" x14ac:dyDescent="0.2">
      <c r="B14" t="s">
        <v>543</v>
      </c>
      <c r="D14" s="59">
        <f>E14/6</f>
        <v>22879.166666666668</v>
      </c>
      <c r="E14" s="59">
        <f>'OM Assumptions'!$C$89*'OM Assumptions'!$C$91</f>
        <v>137275</v>
      </c>
      <c r="F14" s="59">
        <f>'OM Assumptions'!$C$89*'OM Assumptions'!$C$91</f>
        <v>137275</v>
      </c>
      <c r="G14" s="59">
        <f>'OM Assumptions'!$C$89*'OM Assumptions'!$C$91</f>
        <v>137275</v>
      </c>
      <c r="H14" s="59">
        <f>'OM Assumptions'!$C$89*'OM Assumptions'!$C$91</f>
        <v>137275</v>
      </c>
      <c r="I14" s="59">
        <f>'OM Assumptions'!$C$89*'OM Assumptions'!$C$91</f>
        <v>137275</v>
      </c>
    </row>
    <row r="15" spans="2:11" x14ac:dyDescent="0.2">
      <c r="B15" t="s">
        <v>544</v>
      </c>
      <c r="C15" s="597"/>
      <c r="D15" s="59"/>
      <c r="E15" s="59">
        <f>'OM Assumptions'!E110*'OM Assumptions'!E108*'OM Assumptions'!E107</f>
        <v>285.59999999999997</v>
      </c>
      <c r="F15" s="59">
        <f>'OM Assumptions'!F110*'OM Assumptions'!F108*'OM Assumptions'!F107</f>
        <v>588.3359999999999</v>
      </c>
      <c r="G15" s="59">
        <f>'OM Assumptions'!G110*'OM Assumptions'!G108*'OM Assumptions'!G107</f>
        <v>605.9860799999999</v>
      </c>
      <c r="H15" s="59">
        <f>'OM Assumptions'!H110*'OM Assumptions'!H108*'OM Assumptions'!H107</f>
        <v>936.24849359999985</v>
      </c>
      <c r="I15" s="59">
        <f>'OM Assumptions'!I110*'OM Assumptions'!I108*'OM Assumptions'!I107</f>
        <v>964.33594840799969</v>
      </c>
      <c r="J15" s="56"/>
    </row>
    <row r="16" spans="2:11" x14ac:dyDescent="0.2">
      <c r="B16" t="s">
        <v>545</v>
      </c>
      <c r="D16" s="59"/>
      <c r="E16" s="1352">
        <f>('OM Labor'!D8+'OM Labor'!D9)*'OM Labor'!C15*'OM Labor'!C16</f>
        <v>48563.839999999997</v>
      </c>
      <c r="F16" s="1352">
        <f>E16*(1+0.03)*2</f>
        <v>100041.5104</v>
      </c>
      <c r="G16" s="1352">
        <f>F16*(1+0.03)</f>
        <v>103042.755712</v>
      </c>
      <c r="H16" s="1352">
        <f>G16*(1+0.03)</f>
        <v>106134.03838336001</v>
      </c>
      <c r="I16" s="1352">
        <f>H16*(1+0.03)</f>
        <v>109318.0595348608</v>
      </c>
      <c r="J16" s="56" t="s">
        <v>546</v>
      </c>
      <c r="K16" s="1316" t="s">
        <v>494</v>
      </c>
    </row>
    <row r="17" spans="2:17" x14ac:dyDescent="0.2">
      <c r="B17" s="827" t="s">
        <v>547</v>
      </c>
      <c r="C17" s="827"/>
      <c r="D17" s="1389"/>
      <c r="E17" s="1389">
        <f>SUM(E12:E16)</f>
        <v>186229.51</v>
      </c>
      <c r="F17" s="1389">
        <f>SUM(F12:F16)</f>
        <v>238203.48640000002</v>
      </c>
      <c r="G17" s="1389">
        <f>SUM(G12:G16)</f>
        <v>241529.61179200001</v>
      </c>
      <c r="H17" s="1389">
        <f>SUM(H12:H16)</f>
        <v>245317.14687696</v>
      </c>
      <c r="I17" s="1389">
        <f>SUM(I12:I16)</f>
        <v>248573.50548326879</v>
      </c>
      <c r="J17" s="1049"/>
      <c r="M17" s="86"/>
      <c r="N17" s="86"/>
    </row>
    <row r="18" spans="2:17" x14ac:dyDescent="0.2">
      <c r="D18" s="86"/>
      <c r="E18" s="86"/>
      <c r="F18" s="86"/>
      <c r="G18" s="86"/>
      <c r="H18" s="86"/>
      <c r="I18" s="86"/>
      <c r="M18" s="86"/>
      <c r="N18" s="86"/>
    </row>
    <row r="19" spans="2:17" x14ac:dyDescent="0.2">
      <c r="B19" s="827" t="s">
        <v>548</v>
      </c>
      <c r="C19" s="827"/>
      <c r="D19" s="939"/>
      <c r="E19" s="1388">
        <f>E17/'OM Assumptions'!C53</f>
        <v>12.485983007193713</v>
      </c>
      <c r="F19" s="1388">
        <f>F17/'OM Assumptions'!D53</f>
        <v>8.1515746024231355</v>
      </c>
      <c r="G19" s="1388">
        <f>G17/'OM Assumptions'!E53</f>
        <v>3.137539910995117</v>
      </c>
      <c r="H19" s="1388">
        <f>H17/'OM Assumptions'!F53</f>
        <v>1.8570397809421535</v>
      </c>
      <c r="I19" s="1388">
        <f>I17/'OM Assumptions'!G53</f>
        <v>1.3521181824736999</v>
      </c>
    </row>
    <row r="21" spans="2:17" x14ac:dyDescent="0.2">
      <c r="M21" s="86"/>
      <c r="N21" s="86"/>
    </row>
    <row r="22" spans="2:17" x14ac:dyDescent="0.2">
      <c r="I22" s="1793"/>
      <c r="M22" s="86"/>
      <c r="N22" s="86"/>
      <c r="Q22" s="97"/>
    </row>
    <row r="23" spans="2:17" x14ac:dyDescent="0.2">
      <c r="M23" s="86"/>
      <c r="N23" s="86"/>
    </row>
    <row r="24" spans="2:17" x14ac:dyDescent="0.2">
      <c r="M24" s="86"/>
      <c r="N24" s="86"/>
    </row>
    <row r="25" spans="2:17" x14ac:dyDescent="0.2">
      <c r="M25" s="86"/>
      <c r="N25" s="86"/>
    </row>
    <row r="26" spans="2:17" x14ac:dyDescent="0.2">
      <c r="M26" s="86"/>
      <c r="N26" s="86"/>
    </row>
    <row r="27" spans="2:17" x14ac:dyDescent="0.2">
      <c r="C27" s="86"/>
      <c r="D27" s="86"/>
      <c r="M27" s="86"/>
      <c r="N27" s="86"/>
    </row>
    <row r="28" spans="2:17" x14ac:dyDescent="0.2">
      <c r="K28" s="3"/>
      <c r="M28" s="86"/>
      <c r="N28" s="86"/>
    </row>
    <row r="29" spans="2:17" x14ac:dyDescent="0.2">
      <c r="K29" s="3"/>
      <c r="M29" s="86"/>
      <c r="N29" s="86"/>
    </row>
    <row r="30" spans="2:17" x14ac:dyDescent="0.2">
      <c r="M30" s="86"/>
      <c r="N30" s="86"/>
    </row>
    <row r="43" spans="4:4" x14ac:dyDescent="0.2">
      <c r="D43" s="97"/>
    </row>
  </sheetData>
  <mergeCells count="2">
    <mergeCell ref="D5:I5"/>
    <mergeCell ref="B3:J3"/>
  </mergeCells>
  <hyperlinks>
    <hyperlink ref="J8" r:id="rId1" display="https://www.amazon.com/3-ONE-10038-Multi-Purpose-Pack/dp/B001E5DLNI/ref=asc_df_B00065VGWK/?tag=hyprod-20&amp;linkCode=df0&amp;hvadid=198054161189&amp;hvpos=&amp;hvnetw=g&amp;hvrand=2966820209643910850&amp;hvpone=&amp;hvptwo=&amp;hvqmt=&amp;hvdev=c&amp;hvdvcmdl=&amp;hvlocint=&amp;hvlocphy=9001997&amp;hvtargid=pla-351701236286&amp;th=1" xr:uid="{FB7AF17C-555D-B04E-B307-E21848A30F64}"/>
    <hyperlink ref="J11" r:id="rId2" display="https://www.grainger.com/product/10F727?ef_id=Cj0KCQjwrJOMBhCZARIsAGEd4VHrYEvN0Cq2ORCJZ_dXLD8rIvp3f1n5xOFagRpVjC0egqyG8JWqkDYaAniZEALw_wcB:G:s&amp;s_kwcid=AL!2966!3!264955915865!!!g!439063557338!&amp;gucid=N:N:PS:Paid:GGL:CSM-2295:4P7A1P:20501231&amp;gclid=Cj0KCQjwrJOMBhCZARIsAGEd4VHrYEvN0Cq2ORCJZ_dXLD8rIvp3f1n5xOFagRpVjC0egqyG8JWqkDYaAniZEALw_wcB&amp;gclsrc=aw.ds" xr:uid="{87AB0BF8-A501-7748-8E23-DA7C7F9DF13D}"/>
    <hyperlink ref="J16" r:id="rId3" xr:uid="{3050E11E-25CA-F04B-96C3-59DA654D1C55}"/>
    <hyperlink ref="B1" location="Index!A1" display="Back to Index" xr:uid="{3C9584C8-E30B-4714-A320-FB540D409856}"/>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BC2D2-9E8F-4C35-AC5D-D36EA90F0049}">
  <sheetPr>
    <tabColor rgb="FFFF0000"/>
  </sheetPr>
  <dimension ref="B1:J26"/>
  <sheetViews>
    <sheetView showGridLines="0" zoomScale="135" workbookViewId="0">
      <selection activeCell="I13" sqref="I13"/>
    </sheetView>
  </sheetViews>
  <sheetFormatPr baseColWidth="10" defaultColWidth="8.83203125" defaultRowHeight="15" x14ac:dyDescent="0.2"/>
  <cols>
    <col min="1" max="1" width="1.83203125" customWidth="1"/>
    <col min="2" max="2" width="18.5" bestFit="1" customWidth="1"/>
    <col min="4" max="4" width="9.33203125" bestFit="1" customWidth="1"/>
    <col min="5" max="6" width="9.5" bestFit="1" customWidth="1"/>
    <col min="7" max="8" width="9.33203125" bestFit="1" customWidth="1"/>
    <col min="9" max="9" width="30.1640625" customWidth="1"/>
  </cols>
  <sheetData>
    <row r="1" spans="2:10" x14ac:dyDescent="0.2">
      <c r="B1" s="56" t="s">
        <v>37</v>
      </c>
    </row>
    <row r="2" spans="2:10" x14ac:dyDescent="0.2">
      <c r="B2" s="56"/>
    </row>
    <row r="3" spans="2:10" x14ac:dyDescent="0.2">
      <c r="B3" s="1822" t="s">
        <v>549</v>
      </c>
      <c r="C3" s="1822"/>
      <c r="D3" s="1822"/>
      <c r="E3" s="1822"/>
      <c r="F3" s="1822"/>
      <c r="G3" s="1822"/>
      <c r="H3" s="1822"/>
      <c r="I3" s="1822"/>
    </row>
    <row r="4" spans="2:10" x14ac:dyDescent="0.2">
      <c r="B4" s="56"/>
    </row>
    <row r="5" spans="2:10" x14ac:dyDescent="0.2">
      <c r="C5" s="1807" t="s">
        <v>188</v>
      </c>
      <c r="D5" s="1807"/>
      <c r="E5" s="1807"/>
      <c r="F5" s="1807"/>
      <c r="G5" s="1807"/>
      <c r="H5" s="1807"/>
    </row>
    <row r="6" spans="2:10" x14ac:dyDescent="0.2">
      <c r="B6" s="1398"/>
      <c r="C6" s="1398">
        <v>0</v>
      </c>
      <c r="D6" s="188">
        <v>1</v>
      </c>
      <c r="E6" s="188">
        <f>D6+1</f>
        <v>2</v>
      </c>
      <c r="F6" s="188">
        <f t="shared" ref="F6:H6" si="0">E6+1</f>
        <v>3</v>
      </c>
      <c r="G6" s="188">
        <f t="shared" si="0"/>
        <v>4</v>
      </c>
      <c r="H6" s="188">
        <f t="shared" si="0"/>
        <v>5</v>
      </c>
      <c r="I6" s="188" t="s">
        <v>398</v>
      </c>
    </row>
    <row r="7" spans="2:10" x14ac:dyDescent="0.2">
      <c r="B7" t="s">
        <v>550</v>
      </c>
      <c r="D7" s="117">
        <f>Capacity!D54</f>
        <v>1</v>
      </c>
      <c r="E7" s="117">
        <f>Capacity!D63</f>
        <v>2</v>
      </c>
      <c r="F7" s="117">
        <f>Capacity!D72</f>
        <v>5</v>
      </c>
      <c r="G7" s="117">
        <f>Capacity!D81</f>
        <v>10</v>
      </c>
      <c r="H7" s="117">
        <f>Capacity!D90</f>
        <v>10</v>
      </c>
    </row>
    <row r="8" spans="2:10" x14ac:dyDescent="0.2">
      <c r="B8" t="s">
        <v>551</v>
      </c>
      <c r="D8" s="86">
        <v>17.96</v>
      </c>
      <c r="E8" s="86">
        <f>D8*1.03</f>
        <v>18.498800000000003</v>
      </c>
      <c r="F8" s="86">
        <f>E8*1.03</f>
        <v>19.053764000000005</v>
      </c>
      <c r="G8" s="86">
        <f>F8*1.03</f>
        <v>19.625376920000004</v>
      </c>
      <c r="H8" s="86">
        <f>G8*1.03</f>
        <v>20.214138227600007</v>
      </c>
      <c r="I8" t="s">
        <v>552</v>
      </c>
    </row>
    <row r="9" spans="2:10" x14ac:dyDescent="0.2">
      <c r="B9" t="s">
        <v>553</v>
      </c>
      <c r="D9" s="86">
        <f>0.3*D8</f>
        <v>5.3879999999999999</v>
      </c>
      <c r="E9" s="86">
        <f>0.3*E8</f>
        <v>5.549640000000001</v>
      </c>
      <c r="F9" s="86">
        <f>0.3*F8</f>
        <v>5.716129200000001</v>
      </c>
      <c r="G9" s="86">
        <f>0.3*G8</f>
        <v>5.8876130760000009</v>
      </c>
      <c r="H9" s="86">
        <f>0.3*H8</f>
        <v>6.0642414682800014</v>
      </c>
      <c r="I9" t="s">
        <v>554</v>
      </c>
    </row>
    <row r="10" spans="2:10" x14ac:dyDescent="0.2">
      <c r="D10" s="86"/>
      <c r="E10" s="86"/>
      <c r="F10" s="86"/>
      <c r="G10" s="86"/>
      <c r="H10" s="86"/>
    </row>
    <row r="11" spans="2:10" x14ac:dyDescent="0.2">
      <c r="B11" t="s">
        <v>555</v>
      </c>
      <c r="D11" s="86">
        <f>D7*(D8+D9)</f>
        <v>23.347999999999999</v>
      </c>
      <c r="E11" s="86">
        <f>E7*(E8+E9)</f>
        <v>48.096880000000006</v>
      </c>
      <c r="F11" s="86">
        <f>F7*(F8+F9)</f>
        <v>123.84946600000004</v>
      </c>
      <c r="G11" s="86">
        <f>G7*(G8+G9)</f>
        <v>255.12989996000005</v>
      </c>
      <c r="H11" s="86">
        <f>H7*(H8+H9)</f>
        <v>262.78379695880011</v>
      </c>
    </row>
    <row r="12" spans="2:10" x14ac:dyDescent="0.2">
      <c r="B12" t="s">
        <v>556</v>
      </c>
      <c r="D12" s="136">
        <f>60/Capacity!F54</f>
        <v>8.6330935251798575</v>
      </c>
      <c r="E12" s="136">
        <f>ROUND(60/Capacity!F63,2)</f>
        <v>14.81</v>
      </c>
      <c r="F12" s="136">
        <f>ROUND(60/Capacity!F72,2)</f>
        <v>41.38</v>
      </c>
      <c r="G12" s="136">
        <f>ROUND(60/Capacity!F81,2)</f>
        <v>82.76</v>
      </c>
      <c r="H12" s="136">
        <f>ROUND(60/Capacity!F90,2)</f>
        <v>82.76</v>
      </c>
      <c r="J12" s="86">
        <f>H8+H9</f>
        <v>26.278379695880009</v>
      </c>
    </row>
    <row r="13" spans="2:10" x14ac:dyDescent="0.2">
      <c r="B13" t="s">
        <v>557</v>
      </c>
      <c r="D13" s="86">
        <f>D11/D12</f>
        <v>2.704476666666666</v>
      </c>
      <c r="E13" s="86">
        <f>E11/E12</f>
        <v>3.2475948683322082</v>
      </c>
      <c r="F13" s="86">
        <f>F11/F12</f>
        <v>2.9929788786853559</v>
      </c>
      <c r="G13" s="86">
        <f>G11/G12</f>
        <v>3.0827682450459162</v>
      </c>
      <c r="H13" s="86">
        <f>H11/H12</f>
        <v>3.1752512923972946</v>
      </c>
    </row>
    <row r="14" spans="2:10" x14ac:dyDescent="0.2">
      <c r="D14" s="136"/>
      <c r="E14" s="136"/>
      <c r="F14" s="136"/>
      <c r="G14" s="136"/>
      <c r="H14" s="136"/>
    </row>
    <row r="15" spans="2:10" x14ac:dyDescent="0.2">
      <c r="B15" t="s">
        <v>391</v>
      </c>
      <c r="C15" s="9">
        <v>8</v>
      </c>
      <c r="D15" s="136" t="s">
        <v>558</v>
      </c>
      <c r="E15" s="136"/>
      <c r="F15" s="136"/>
      <c r="G15" s="136"/>
      <c r="H15" s="136"/>
    </row>
    <row r="16" spans="2:10" x14ac:dyDescent="0.2">
      <c r="B16" t="s">
        <v>112</v>
      </c>
      <c r="C16" s="9">
        <v>260</v>
      </c>
      <c r="D16" s="136" t="s">
        <v>559</v>
      </c>
      <c r="E16" s="136"/>
      <c r="F16" s="136"/>
      <c r="G16" s="136"/>
      <c r="H16" s="136"/>
    </row>
    <row r="17" spans="2:8" x14ac:dyDescent="0.2">
      <c r="D17" s="136"/>
      <c r="E17" s="136"/>
      <c r="F17" s="136"/>
      <c r="G17" s="136"/>
      <c r="H17" s="136"/>
    </row>
    <row r="18" spans="2:8" x14ac:dyDescent="0.2">
      <c r="B18" s="1823" t="s">
        <v>560</v>
      </c>
      <c r="C18" s="1823"/>
      <c r="D18" s="1823"/>
    </row>
    <row r="19" spans="2:8" x14ac:dyDescent="0.2">
      <c r="B19" t="s">
        <v>561</v>
      </c>
    </row>
    <row r="20" spans="2:8" x14ac:dyDescent="0.2">
      <c r="B20" t="s">
        <v>555</v>
      </c>
      <c r="D20" s="86">
        <f>D11*2</f>
        <v>46.695999999999998</v>
      </c>
      <c r="E20" t="s">
        <v>562</v>
      </c>
    </row>
    <row r="21" spans="2:8" x14ac:dyDescent="0.2">
      <c r="B21" t="s">
        <v>556</v>
      </c>
      <c r="D21" s="136">
        <f>60/Capacity!F63</f>
        <v>14.814814814814815</v>
      </c>
      <c r="E21" s="128"/>
      <c r="F21" s="128"/>
      <c r="G21" s="128"/>
      <c r="H21" s="128"/>
    </row>
    <row r="22" spans="2:8" x14ac:dyDescent="0.2">
      <c r="B22" t="s">
        <v>563</v>
      </c>
      <c r="D22" s="136">
        <f>D20/D21</f>
        <v>3.15198</v>
      </c>
    </row>
    <row r="24" spans="2:8" x14ac:dyDescent="0.2">
      <c r="D24" s="136"/>
    </row>
    <row r="25" spans="2:8" x14ac:dyDescent="0.2">
      <c r="D25" s="136"/>
    </row>
    <row r="26" spans="2:8" x14ac:dyDescent="0.2">
      <c r="D26" s="136"/>
    </row>
  </sheetData>
  <mergeCells count="3">
    <mergeCell ref="C5:H5"/>
    <mergeCell ref="B18:D18"/>
    <mergeCell ref="B3:I3"/>
  </mergeCells>
  <hyperlinks>
    <hyperlink ref="B1" location="Index!A1" display="Back to Index" xr:uid="{15C407AD-E684-4A77-8DF4-F653506FCEB4}"/>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C19FF-4F41-EE4E-8D68-BDB8CEBBC987}">
  <sheetPr>
    <tabColor rgb="FFFF0000"/>
  </sheetPr>
  <dimension ref="B1:G96"/>
  <sheetViews>
    <sheetView showGridLines="0" topLeftCell="A4" workbookViewId="0">
      <selection activeCell="C7" sqref="C7"/>
    </sheetView>
  </sheetViews>
  <sheetFormatPr baseColWidth="10" defaultColWidth="8.83203125" defaultRowHeight="15" x14ac:dyDescent="0.2"/>
  <cols>
    <col min="1" max="1" width="1.83203125" customWidth="1"/>
    <col min="2" max="2" width="67.33203125" customWidth="1"/>
    <col min="3" max="3" width="17.6640625" customWidth="1"/>
    <col min="4" max="4" width="11.83203125" bestFit="1" customWidth="1"/>
    <col min="5" max="5" width="11" bestFit="1" customWidth="1"/>
    <col min="6" max="6" width="14" bestFit="1" customWidth="1"/>
    <col min="7" max="7" width="11.5" bestFit="1" customWidth="1"/>
    <col min="16384" max="16384" width="8.83203125" bestFit="1" customWidth="1"/>
  </cols>
  <sheetData>
    <row r="1" spans="2:7" x14ac:dyDescent="0.2">
      <c r="B1" s="56" t="s">
        <v>37</v>
      </c>
    </row>
    <row r="2" spans="2:7" x14ac:dyDescent="0.2">
      <c r="B2" s="56"/>
    </row>
    <row r="3" spans="2:7" x14ac:dyDescent="0.2">
      <c r="B3" s="1440" t="s">
        <v>18</v>
      </c>
      <c r="C3" s="4"/>
    </row>
    <row r="5" spans="2:7" s="13" customFormat="1" ht="16" x14ac:dyDescent="0.2">
      <c r="B5" s="609" t="s">
        <v>564</v>
      </c>
      <c r="C5" s="34"/>
    </row>
    <row r="6" spans="2:7" ht="16" x14ac:dyDescent="0.2">
      <c r="B6" s="437" t="s">
        <v>565</v>
      </c>
      <c r="C6" s="792">
        <f>'Finished Goods '!H13</f>
        <v>37134.237259028218</v>
      </c>
      <c r="G6" s="40"/>
    </row>
    <row r="7" spans="2:7" ht="16" x14ac:dyDescent="0.2">
      <c r="B7" s="437" t="s">
        <v>566</v>
      </c>
      <c r="C7" s="792">
        <f>'OM Raw Materials Y1 - Y5'!C$90</f>
        <v>61784.199766297446</v>
      </c>
      <c r="G7" s="40"/>
    </row>
    <row r="8" spans="2:7" ht="16" x14ac:dyDescent="0.2">
      <c r="B8" s="437"/>
      <c r="C8" s="792"/>
      <c r="G8" s="40"/>
    </row>
    <row r="9" spans="2:7" ht="16" x14ac:dyDescent="0.2">
      <c r="B9" s="788" t="s">
        <v>567</v>
      </c>
      <c r="C9" s="793">
        <f>SUM(C6:C7)</f>
        <v>98918.437025325664</v>
      </c>
      <c r="G9" s="40"/>
    </row>
    <row r="10" spans="2:7" ht="16" x14ac:dyDescent="0.2">
      <c r="B10" s="437"/>
      <c r="C10" s="438"/>
      <c r="G10" s="40"/>
    </row>
    <row r="11" spans="2:7" ht="16" x14ac:dyDescent="0.2">
      <c r="B11" s="1002" t="s">
        <v>568</v>
      </c>
      <c r="C11" s="439"/>
    </row>
    <row r="12" spans="2:7" ht="16" x14ac:dyDescent="0.2">
      <c r="B12" s="437" t="s">
        <v>569</v>
      </c>
      <c r="C12" s="815">
        <f>'Finished Goods '!C9</f>
        <v>14915.085972222223</v>
      </c>
      <c r="E12" s="102"/>
    </row>
    <row r="13" spans="2:7" ht="16" x14ac:dyDescent="0.2">
      <c r="B13" s="437" t="s">
        <v>570</v>
      </c>
      <c r="C13" s="478">
        <f>'FE Assumptions'!D57</f>
        <v>49.503571428571426</v>
      </c>
    </row>
    <row r="14" spans="2:7" ht="16" x14ac:dyDescent="0.2">
      <c r="B14" s="437"/>
      <c r="C14" s="478"/>
    </row>
    <row r="15" spans="2:7" ht="16" x14ac:dyDescent="0.2">
      <c r="B15" s="788" t="s">
        <v>571</v>
      </c>
      <c r="C15" s="789">
        <f>C13*C12</f>
        <v>738350.0237891865</v>
      </c>
    </row>
    <row r="16" spans="2:7" ht="16" x14ac:dyDescent="0.2">
      <c r="B16" s="437"/>
      <c r="C16" s="440"/>
    </row>
    <row r="17" spans="2:7" ht="16" x14ac:dyDescent="0.2">
      <c r="B17" s="1002" t="s">
        <v>572</v>
      </c>
      <c r="C17" s="439"/>
      <c r="F17" s="102"/>
      <c r="G17" s="102"/>
    </row>
    <row r="18" spans="2:7" ht="16" x14ac:dyDescent="0.2">
      <c r="B18" s="437" t="s">
        <v>573</v>
      </c>
      <c r="C18" s="441">
        <f>C12/52</f>
        <v>286.82857638888891</v>
      </c>
      <c r="F18" s="102"/>
      <c r="G18" s="102"/>
    </row>
    <row r="19" spans="2:7" ht="16" x14ac:dyDescent="0.2">
      <c r="B19" s="437" t="s">
        <v>574</v>
      </c>
      <c r="C19" s="792">
        <f>'OM Assumptions'!C73</f>
        <v>30.37449046820376</v>
      </c>
      <c r="F19" s="102"/>
      <c r="G19" s="102"/>
    </row>
    <row r="20" spans="2:7" ht="45" customHeight="1" x14ac:dyDescent="0.2">
      <c r="B20" s="442" t="s">
        <v>575</v>
      </c>
      <c r="C20" s="794">
        <f>C9/(C18*C19)</f>
        <v>11.353919921253544</v>
      </c>
      <c r="F20" s="102"/>
      <c r="G20" s="102"/>
    </row>
    <row r="21" spans="2:7" ht="16" x14ac:dyDescent="0.2">
      <c r="B21" s="437" t="s">
        <v>576</v>
      </c>
      <c r="C21" s="794">
        <f>C20*7</f>
        <v>79.477439448774803</v>
      </c>
      <c r="D21" s="102"/>
      <c r="E21" s="445"/>
      <c r="F21" s="445"/>
      <c r="G21" s="445"/>
    </row>
    <row r="23" spans="2:7" ht="16" x14ac:dyDescent="0.2">
      <c r="B23" s="609" t="s">
        <v>577</v>
      </c>
      <c r="C23" s="34"/>
    </row>
    <row r="24" spans="2:7" ht="16" x14ac:dyDescent="0.2">
      <c r="B24" s="437" t="s">
        <v>565</v>
      </c>
      <c r="C24" s="792">
        <f>'Finished Goods '!H22</f>
        <v>64205.27408031396</v>
      </c>
    </row>
    <row r="25" spans="2:7" ht="16" x14ac:dyDescent="0.2">
      <c r="B25" s="437" t="s">
        <v>566</v>
      </c>
      <c r="C25" s="792">
        <f>'OM Raw Materials Y1 - Y5'!D$90</f>
        <v>109634.03489965237</v>
      </c>
    </row>
    <row r="26" spans="2:7" ht="16" x14ac:dyDescent="0.2">
      <c r="B26" s="437"/>
      <c r="C26" s="792"/>
    </row>
    <row r="27" spans="2:7" ht="16" x14ac:dyDescent="0.2">
      <c r="B27" s="788" t="s">
        <v>567</v>
      </c>
      <c r="C27" s="793">
        <f>SUM(C24:C25)</f>
        <v>173839.30897996633</v>
      </c>
    </row>
    <row r="28" spans="2:7" ht="16" x14ac:dyDescent="0.2">
      <c r="B28" s="437"/>
      <c r="C28" s="438"/>
    </row>
    <row r="29" spans="2:7" ht="16" x14ac:dyDescent="0.2">
      <c r="B29" s="1002" t="s">
        <v>568</v>
      </c>
      <c r="C29" s="439"/>
    </row>
    <row r="30" spans="2:7" ht="16" x14ac:dyDescent="0.2">
      <c r="B30" s="437" t="s">
        <v>569</v>
      </c>
      <c r="C30" s="815">
        <f>'Finished Goods '!C18</f>
        <v>29221.775916666662</v>
      </c>
    </row>
    <row r="31" spans="2:7" ht="16" x14ac:dyDescent="0.2">
      <c r="B31" s="437" t="s">
        <v>570</v>
      </c>
      <c r="C31" s="478">
        <f>'FE Assumptions'!E57</f>
        <v>49.189705882352946</v>
      </c>
    </row>
    <row r="32" spans="2:7" ht="16" x14ac:dyDescent="0.2">
      <c r="B32" s="437"/>
      <c r="C32" s="478"/>
    </row>
    <row r="33" spans="2:3" ht="16" x14ac:dyDescent="0.2">
      <c r="B33" s="788" t="s">
        <v>571</v>
      </c>
      <c r="C33" s="789">
        <f>C31*C30</f>
        <v>1437410.5627008579</v>
      </c>
    </row>
    <row r="34" spans="2:3" ht="16" x14ac:dyDescent="0.2">
      <c r="B34" s="437"/>
      <c r="C34" s="440"/>
    </row>
    <row r="35" spans="2:3" ht="16" x14ac:dyDescent="0.2">
      <c r="B35" s="1002" t="s">
        <v>572</v>
      </c>
      <c r="C35" s="439"/>
    </row>
    <row r="36" spans="2:3" ht="16" x14ac:dyDescent="0.2">
      <c r="B36" s="437" t="s">
        <v>573</v>
      </c>
      <c r="C36" s="441">
        <f>C30/52</f>
        <v>561.95722916666659</v>
      </c>
    </row>
    <row r="37" spans="2:3" ht="16" x14ac:dyDescent="0.2">
      <c r="B37" s="437" t="s">
        <v>574</v>
      </c>
      <c r="C37" s="792">
        <f>'OM Assumptions'!D73</f>
        <v>26.583200265098725</v>
      </c>
    </row>
    <row r="38" spans="2:3" ht="51" x14ac:dyDescent="0.2">
      <c r="B38" s="442" t="s">
        <v>575</v>
      </c>
      <c r="C38" s="794">
        <f>C27/(C36*C37)</f>
        <v>11.636904264739652</v>
      </c>
    </row>
    <row r="39" spans="2:3" ht="16" x14ac:dyDescent="0.2">
      <c r="B39" s="437" t="s">
        <v>576</v>
      </c>
      <c r="C39" s="794">
        <f>C38*7</f>
        <v>81.45832985317756</v>
      </c>
    </row>
    <row r="42" spans="2:3" s="610" customFormat="1" ht="16" x14ac:dyDescent="0.2">
      <c r="B42" s="609" t="s">
        <v>578</v>
      </c>
      <c r="C42" s="34"/>
    </row>
    <row r="43" spans="2:3" ht="16" x14ac:dyDescent="0.2">
      <c r="B43" s="437" t="s">
        <v>565</v>
      </c>
      <c r="C43" s="792">
        <f>'Finished Goods '!H30</f>
        <v>137844.54328343982</v>
      </c>
    </row>
    <row r="44" spans="2:3" ht="16" x14ac:dyDescent="0.2">
      <c r="B44" s="437" t="s">
        <v>566</v>
      </c>
      <c r="C44" s="792">
        <f>'OM Raw Materials Y1 - Y5'!E$90</f>
        <v>260599.37958656834</v>
      </c>
    </row>
    <row r="45" spans="2:3" ht="16" x14ac:dyDescent="0.2">
      <c r="B45" s="437"/>
      <c r="C45" s="792"/>
    </row>
    <row r="46" spans="2:3" ht="16" x14ac:dyDescent="0.2">
      <c r="B46" s="788" t="s">
        <v>567</v>
      </c>
      <c r="C46" s="793">
        <f>SUM(C43:C44)</f>
        <v>398443.92287000816</v>
      </c>
    </row>
    <row r="47" spans="2:3" ht="16" x14ac:dyDescent="0.2">
      <c r="B47" s="437"/>
      <c r="C47" s="438"/>
    </row>
    <row r="48" spans="2:3" ht="16" x14ac:dyDescent="0.2">
      <c r="B48" s="1002" t="s">
        <v>568</v>
      </c>
      <c r="C48" s="439"/>
    </row>
    <row r="49" spans="2:3" ht="16" x14ac:dyDescent="0.2">
      <c r="B49" s="437" t="s">
        <v>569</v>
      </c>
      <c r="C49" s="815">
        <f>'Finished Goods '!C26</f>
        <v>76980.570333333337</v>
      </c>
    </row>
    <row r="50" spans="2:3" ht="16" x14ac:dyDescent="0.2">
      <c r="B50" s="437" t="s">
        <v>570</v>
      </c>
      <c r="C50" s="478">
        <f>'FE Assumptions'!F57</f>
        <v>46.384977609219568</v>
      </c>
    </row>
    <row r="51" spans="2:3" ht="16" x14ac:dyDescent="0.2">
      <c r="B51" s="437"/>
      <c r="C51" s="478"/>
    </row>
    <row r="52" spans="2:3" ht="16" x14ac:dyDescent="0.2">
      <c r="B52" s="788" t="s">
        <v>571</v>
      </c>
      <c r="C52" s="789">
        <f>C50*C49</f>
        <v>3570742.0312566189</v>
      </c>
    </row>
    <row r="53" spans="2:3" ht="16" x14ac:dyDescent="0.2">
      <c r="B53" s="437"/>
      <c r="C53" s="440"/>
    </row>
    <row r="54" spans="2:3" ht="16" x14ac:dyDescent="0.2">
      <c r="B54" s="1002" t="s">
        <v>572</v>
      </c>
      <c r="C54" s="439"/>
    </row>
    <row r="55" spans="2:3" ht="16" x14ac:dyDescent="0.2">
      <c r="B55" s="437" t="s">
        <v>573</v>
      </c>
      <c r="C55" s="816">
        <f>C49/52</f>
        <v>1480.3955833333334</v>
      </c>
    </row>
    <row r="56" spans="2:3" ht="16" x14ac:dyDescent="0.2">
      <c r="B56" s="437" t="s">
        <v>574</v>
      </c>
      <c r="C56" s="792">
        <f>'OM Assumptions'!E73</f>
        <v>21.314549584023851</v>
      </c>
    </row>
    <row r="57" spans="2:3" ht="51" x14ac:dyDescent="0.2">
      <c r="B57" s="442" t="s">
        <v>575</v>
      </c>
      <c r="C57" s="794">
        <f>C46/(C55*C56)</f>
        <v>12.627380490855412</v>
      </c>
    </row>
    <row r="58" spans="2:3" ht="16" x14ac:dyDescent="0.2">
      <c r="B58" s="437" t="s">
        <v>576</v>
      </c>
      <c r="C58" s="794">
        <f>C57*7</f>
        <v>88.39166343598788</v>
      </c>
    </row>
    <row r="59" spans="2:3" ht="16" x14ac:dyDescent="0.2">
      <c r="B59" s="442"/>
      <c r="C59" s="443"/>
    </row>
    <row r="60" spans="2:3" ht="16" x14ac:dyDescent="0.2">
      <c r="B60" s="437"/>
      <c r="C60" s="444"/>
    </row>
    <row r="61" spans="2:3" ht="16" x14ac:dyDescent="0.2">
      <c r="B61" s="609" t="s">
        <v>579</v>
      </c>
      <c r="C61" s="34"/>
    </row>
    <row r="62" spans="2:3" ht="16" x14ac:dyDescent="0.2">
      <c r="B62" s="437" t="s">
        <v>565</v>
      </c>
      <c r="C62" s="792">
        <f>'Finished Goods '!H38</f>
        <v>224408.85144445224</v>
      </c>
    </row>
    <row r="63" spans="2:3" ht="16" x14ac:dyDescent="0.2">
      <c r="B63" s="437" t="s">
        <v>566</v>
      </c>
      <c r="C63" s="792">
        <f>'OM Raw Materials Y1 - Y5'!F$90</f>
        <v>429067.94595654175</v>
      </c>
    </row>
    <row r="64" spans="2:3" ht="16" x14ac:dyDescent="0.2">
      <c r="B64" s="437"/>
      <c r="C64" s="792"/>
    </row>
    <row r="65" spans="2:3" ht="16" x14ac:dyDescent="0.2">
      <c r="B65" s="788" t="s">
        <v>567</v>
      </c>
      <c r="C65" s="793">
        <f>SUM(C62:C63)</f>
        <v>653476.79740099399</v>
      </c>
    </row>
    <row r="66" spans="2:3" ht="16" x14ac:dyDescent="0.2">
      <c r="B66" s="437"/>
      <c r="C66" s="438"/>
    </row>
    <row r="67" spans="2:3" ht="16" x14ac:dyDescent="0.2">
      <c r="B67" s="1002" t="s">
        <v>568</v>
      </c>
      <c r="C67" s="439"/>
    </row>
    <row r="68" spans="2:3" ht="16" x14ac:dyDescent="0.2">
      <c r="B68" s="437" t="s">
        <v>569</v>
      </c>
      <c r="C68" s="815">
        <f>'Finished Goods '!C34</f>
        <v>132101.18027331671</v>
      </c>
    </row>
    <row r="69" spans="2:3" ht="16" x14ac:dyDescent="0.2">
      <c r="B69" s="437" t="s">
        <v>570</v>
      </c>
      <c r="C69" s="478">
        <f>'FE Assumptions'!G57</f>
        <v>45.150854986944765</v>
      </c>
    </row>
    <row r="70" spans="2:3" ht="16" x14ac:dyDescent="0.2">
      <c r="B70" s="437"/>
      <c r="C70" s="478"/>
    </row>
    <row r="71" spans="2:3" ht="16" x14ac:dyDescent="0.2">
      <c r="B71" s="788" t="s">
        <v>571</v>
      </c>
      <c r="C71" s="789">
        <f>C69*C68</f>
        <v>5964481.2341247713</v>
      </c>
    </row>
    <row r="72" spans="2:3" ht="16" x14ac:dyDescent="0.2">
      <c r="B72" s="437"/>
      <c r="C72" s="440"/>
    </row>
    <row r="73" spans="2:3" ht="16" x14ac:dyDescent="0.2">
      <c r="B73" s="1002" t="s">
        <v>572</v>
      </c>
      <c r="C73" s="439"/>
    </row>
    <row r="74" spans="2:3" ht="16" x14ac:dyDescent="0.2">
      <c r="B74" s="437" t="s">
        <v>573</v>
      </c>
      <c r="C74" s="816">
        <f>C68/52</f>
        <v>2540.4073129483982</v>
      </c>
    </row>
    <row r="75" spans="2:3" ht="16" x14ac:dyDescent="0.2">
      <c r="B75" s="437" t="s">
        <v>574</v>
      </c>
      <c r="C75" s="792">
        <f>'OM Assumptions'!F73</f>
        <v>20.12383882033145</v>
      </c>
    </row>
    <row r="76" spans="2:3" ht="51" x14ac:dyDescent="0.2">
      <c r="B76" s="442" t="s">
        <v>575</v>
      </c>
      <c r="C76" s="794">
        <f>C65/(C74*C75)</f>
        <v>12.782505476830455</v>
      </c>
    </row>
    <row r="77" spans="2:3" ht="16" x14ac:dyDescent="0.2">
      <c r="B77" s="437" t="s">
        <v>576</v>
      </c>
      <c r="C77" s="794">
        <f>C76*7</f>
        <v>89.477538337813186</v>
      </c>
    </row>
    <row r="80" spans="2:3" s="610" customFormat="1" ht="16" x14ac:dyDescent="0.2">
      <c r="B80" s="609" t="s">
        <v>580</v>
      </c>
      <c r="C80" s="34"/>
    </row>
    <row r="81" spans="2:3" ht="16" x14ac:dyDescent="0.2">
      <c r="B81" s="437" t="s">
        <v>565</v>
      </c>
      <c r="C81" s="792">
        <f>'Finished Goods '!H46</f>
        <v>306450.55088460015</v>
      </c>
    </row>
    <row r="82" spans="2:3" ht="16" x14ac:dyDescent="0.2">
      <c r="B82" s="437" t="s">
        <v>566</v>
      </c>
      <c r="C82" s="792">
        <f>'OM Raw Materials Y1 - Y5'!G$90</f>
        <v>584792.43618212477</v>
      </c>
    </row>
    <row r="83" spans="2:3" ht="16" x14ac:dyDescent="0.2">
      <c r="B83" s="437"/>
      <c r="C83" s="792"/>
    </row>
    <row r="84" spans="2:3" ht="16" x14ac:dyDescent="0.2">
      <c r="B84" s="788" t="s">
        <v>567</v>
      </c>
      <c r="C84" s="793">
        <f>SUM(C81:C82)</f>
        <v>891242.98706672492</v>
      </c>
    </row>
    <row r="85" spans="2:3" ht="16" x14ac:dyDescent="0.2">
      <c r="B85" s="437"/>
      <c r="C85" s="438"/>
    </row>
    <row r="86" spans="2:3" ht="16" x14ac:dyDescent="0.2">
      <c r="B86" s="1002" t="s">
        <v>568</v>
      </c>
      <c r="C86" s="439"/>
    </row>
    <row r="87" spans="2:3" ht="16" x14ac:dyDescent="0.2">
      <c r="B87" s="437" t="s">
        <v>569</v>
      </c>
      <c r="C87" s="815">
        <f>'Finished Goods '!C42</f>
        <v>183840.07308333332</v>
      </c>
    </row>
    <row r="88" spans="2:3" ht="16" x14ac:dyDescent="0.2">
      <c r="B88" s="437" t="s">
        <v>570</v>
      </c>
      <c r="C88" s="478">
        <f>'FE Assumptions'!H57</f>
        <v>44.454622937924668</v>
      </c>
    </row>
    <row r="89" spans="2:3" ht="16" x14ac:dyDescent="0.2">
      <c r="B89" s="437"/>
      <c r="C89" s="478"/>
    </row>
    <row r="90" spans="2:3" ht="16" x14ac:dyDescent="0.2">
      <c r="B90" s="788" t="s">
        <v>571</v>
      </c>
      <c r="C90" s="789">
        <f>C88*C87</f>
        <v>8172541.1298000971</v>
      </c>
    </row>
    <row r="91" spans="2:3" ht="16" x14ac:dyDescent="0.2">
      <c r="B91" s="437"/>
      <c r="C91" s="440"/>
    </row>
    <row r="92" spans="2:3" ht="16" x14ac:dyDescent="0.2">
      <c r="B92" s="1002" t="s">
        <v>572</v>
      </c>
      <c r="C92" s="439"/>
    </row>
    <row r="93" spans="2:3" ht="16" x14ac:dyDescent="0.2">
      <c r="B93" s="437" t="s">
        <v>573</v>
      </c>
      <c r="C93" s="816">
        <f>C87/52</f>
        <v>3535.3860208333331</v>
      </c>
    </row>
    <row r="94" spans="2:3" ht="16" x14ac:dyDescent="0.2">
      <c r="B94" s="437" t="s">
        <v>574</v>
      </c>
      <c r="C94" s="792">
        <f>'OM Assumptions'!G73</f>
        <v>19.711400269214373</v>
      </c>
    </row>
    <row r="95" spans="2:3" ht="51" x14ac:dyDescent="0.2">
      <c r="B95" s="442" t="s">
        <v>575</v>
      </c>
      <c r="C95" s="794">
        <f>C84/(C93*C94)</f>
        <v>12.789153741418144</v>
      </c>
    </row>
    <row r="96" spans="2:3" ht="16" x14ac:dyDescent="0.2">
      <c r="B96" s="437" t="s">
        <v>576</v>
      </c>
      <c r="C96" s="794">
        <f>C95*7</f>
        <v>89.524076189927001</v>
      </c>
    </row>
  </sheetData>
  <hyperlinks>
    <hyperlink ref="B1" location="Index!A1" display="Back to Index" xr:uid="{3CFBD01E-47A3-43E3-B6BF-2A28B4414FC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E862D-B970-4D1C-9E80-6754FD2AD9F4}">
  <sheetPr>
    <tabColor rgb="FFFF0000"/>
  </sheetPr>
  <dimension ref="B1:AD109"/>
  <sheetViews>
    <sheetView showGridLines="0" topLeftCell="A6" zoomScaleNormal="70" workbookViewId="0">
      <selection activeCell="J91" sqref="J91"/>
    </sheetView>
  </sheetViews>
  <sheetFormatPr baseColWidth="10" defaultColWidth="8.83203125" defaultRowHeight="15" x14ac:dyDescent="0.2"/>
  <cols>
    <col min="1" max="1" width="1.83203125" customWidth="1"/>
    <col min="2" max="2" width="35.5" customWidth="1"/>
    <col min="3" max="3" width="11.83203125" customWidth="1"/>
    <col min="4" max="4" width="10" customWidth="1"/>
    <col min="5" max="5" width="10.1640625" customWidth="1"/>
    <col min="6" max="6" width="9.6640625" customWidth="1"/>
    <col min="7" max="7" width="10.5" customWidth="1"/>
    <col min="8" max="8" width="6.33203125" customWidth="1"/>
    <col min="9" max="9" width="35.83203125" customWidth="1"/>
    <col min="10" max="10" width="11.83203125" bestFit="1" customWidth="1"/>
    <col min="11" max="13" width="12.5" customWidth="1"/>
    <col min="14" max="14" width="11.83203125" customWidth="1"/>
    <col min="15" max="15" width="5.33203125" customWidth="1"/>
    <col min="16" max="16" width="36.5" customWidth="1"/>
    <col min="17" max="20" width="10.83203125" customWidth="1"/>
    <col min="21" max="21" width="8.33203125" customWidth="1"/>
    <col min="22" max="22" width="6" customWidth="1"/>
    <col min="23" max="23" width="35.83203125" customWidth="1"/>
    <col min="24" max="24" width="13" bestFit="1" customWidth="1"/>
    <col min="25" max="25" width="9.5" customWidth="1"/>
    <col min="26" max="26" width="11.5" bestFit="1" customWidth="1"/>
    <col min="27" max="27" width="9.5" customWidth="1"/>
    <col min="28" max="28" width="11.5" bestFit="1" customWidth="1"/>
    <col min="29" max="29" width="9.1640625" bestFit="1" customWidth="1"/>
  </cols>
  <sheetData>
    <row r="1" spans="2:29" x14ac:dyDescent="0.2">
      <c r="B1" s="56" t="s">
        <v>37</v>
      </c>
    </row>
    <row r="2" spans="2:29" x14ac:dyDescent="0.2">
      <c r="B2" s="56"/>
    </row>
    <row r="3" spans="2:29" x14ac:dyDescent="0.2">
      <c r="B3" s="1440" t="s">
        <v>126</v>
      </c>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row>
    <row r="4" spans="2:29" ht="16" thickBot="1" x14ac:dyDescent="0.25">
      <c r="B4" s="1441"/>
    </row>
    <row r="5" spans="2:29" x14ac:dyDescent="0.2">
      <c r="B5" s="1442" t="s">
        <v>581</v>
      </c>
    </row>
    <row r="6" spans="2:29" x14ac:dyDescent="0.2">
      <c r="B6" s="1443" t="s">
        <v>582</v>
      </c>
    </row>
    <row r="7" spans="2:29" ht="16" thickBot="1" x14ac:dyDescent="0.25">
      <c r="B7" s="1444" t="s">
        <v>583</v>
      </c>
    </row>
    <row r="8" spans="2:29" x14ac:dyDescent="0.2">
      <c r="B8" s="3"/>
      <c r="I8" s="3"/>
      <c r="P8" s="3"/>
      <c r="Q8" s="3"/>
      <c r="R8" s="3"/>
      <c r="S8" s="3"/>
      <c r="T8" s="3"/>
      <c r="U8" s="3"/>
      <c r="V8" s="3"/>
    </row>
    <row r="9" spans="2:29" x14ac:dyDescent="0.2">
      <c r="B9" s="31" t="s">
        <v>584</v>
      </c>
      <c r="C9" s="31">
        <v>1</v>
      </c>
      <c r="D9" s="31">
        <v>2</v>
      </c>
      <c r="E9" s="31">
        <v>3</v>
      </c>
      <c r="F9" s="31">
        <v>4</v>
      </c>
      <c r="G9" s="31">
        <v>5</v>
      </c>
      <c r="H9" s="1004"/>
      <c r="I9" s="31" t="s">
        <v>585</v>
      </c>
      <c r="J9" s="31">
        <v>1</v>
      </c>
      <c r="K9" s="31">
        <v>2</v>
      </c>
      <c r="L9" s="31">
        <v>3</v>
      </c>
      <c r="M9" s="31">
        <v>4</v>
      </c>
      <c r="N9" s="31">
        <v>5</v>
      </c>
      <c r="O9" s="1004"/>
      <c r="P9" s="31" t="s">
        <v>321</v>
      </c>
      <c r="Q9" s="31">
        <v>1</v>
      </c>
      <c r="R9" s="31">
        <v>2</v>
      </c>
      <c r="S9" s="31">
        <v>3</v>
      </c>
      <c r="T9" s="31">
        <v>4</v>
      </c>
      <c r="U9" s="31">
        <v>5</v>
      </c>
      <c r="V9" s="1004"/>
      <c r="W9" s="228" t="s">
        <v>586</v>
      </c>
      <c r="X9" s="31">
        <v>1</v>
      </c>
      <c r="Y9" s="31">
        <v>2</v>
      </c>
      <c r="Z9" s="31">
        <v>3</v>
      </c>
      <c r="AA9" s="31">
        <v>4</v>
      </c>
      <c r="AB9" s="31">
        <v>5</v>
      </c>
    </row>
    <row r="10" spans="2:29" x14ac:dyDescent="0.2">
      <c r="B10" s="3" t="s">
        <v>587</v>
      </c>
      <c r="C10" s="136">
        <f>'OM $ Raw Material '!$L$20</f>
        <v>2.3099999999999999E-2</v>
      </c>
      <c r="D10" s="136">
        <f>'OM $ Raw Material '!$L$20</f>
        <v>2.3099999999999999E-2</v>
      </c>
      <c r="E10" s="136">
        <f>'OM $ Raw Material '!$L$20</f>
        <v>2.3099999999999999E-2</v>
      </c>
      <c r="F10" s="136">
        <f>'OM $ Raw Material '!$L$20</f>
        <v>2.3099999999999999E-2</v>
      </c>
      <c r="G10" s="136">
        <f>'OM $ Raw Material '!$L$20</f>
        <v>2.3099999999999999E-2</v>
      </c>
      <c r="H10" s="136"/>
      <c r="I10" s="3" t="s">
        <v>587</v>
      </c>
      <c r="J10">
        <f>'OM $ Raw Material '!$L$6</f>
        <v>12</v>
      </c>
      <c r="K10">
        <f>'OM $ Raw Material '!$L$6</f>
        <v>12</v>
      </c>
      <c r="L10">
        <f>'OM $ Raw Material '!$L$6</f>
        <v>12</v>
      </c>
      <c r="M10">
        <f>'OM $ Raw Material '!$L$6</f>
        <v>12</v>
      </c>
      <c r="N10">
        <f>'OM $ Raw Material '!$L$6</f>
        <v>12</v>
      </c>
      <c r="P10" s="3" t="s">
        <v>587</v>
      </c>
      <c r="Q10">
        <f>'OM $ Raw Material '!$L$7</f>
        <v>5</v>
      </c>
      <c r="R10">
        <f>'OM $ Raw Material '!$L$7</f>
        <v>5</v>
      </c>
      <c r="S10">
        <f>'OM $ Raw Material '!$L$7</f>
        <v>5</v>
      </c>
      <c r="T10">
        <f>'OM $ Raw Material '!$L$7</f>
        <v>5</v>
      </c>
      <c r="U10">
        <f>'OM $ Raw Material '!$L$7</f>
        <v>5</v>
      </c>
      <c r="W10" s="142" t="s">
        <v>587</v>
      </c>
      <c r="X10">
        <f>'OM $ Raw Material '!$L$8</f>
        <v>1</v>
      </c>
      <c r="Y10">
        <f>'OM $ Raw Material '!$L$8</f>
        <v>1</v>
      </c>
      <c r="Z10">
        <f>'OM $ Raw Material '!$L$8</f>
        <v>1</v>
      </c>
      <c r="AA10">
        <f>'OM $ Raw Material '!$L$8</f>
        <v>1</v>
      </c>
      <c r="AB10">
        <f>'OM $ Raw Material '!$L$8</f>
        <v>1</v>
      </c>
    </row>
    <row r="11" spans="2:29" x14ac:dyDescent="0.2">
      <c r="B11" s="1317" t="s">
        <v>588</v>
      </c>
      <c r="C11" s="86">
        <f>'OM $ Raw Material '!$F$20</f>
        <v>8.6198805000000003E-2</v>
      </c>
      <c r="D11" s="86">
        <f>'OM $ Raw Material '!$F$20</f>
        <v>8.6198805000000003E-2</v>
      </c>
      <c r="E11" s="86">
        <f>'OM $ Raw Material '!$F$20</f>
        <v>8.6198805000000003E-2</v>
      </c>
      <c r="F11" s="86">
        <f>'OM $ Raw Material '!$F$20</f>
        <v>8.6198805000000003E-2</v>
      </c>
      <c r="G11" s="86">
        <f>'OM $ Raw Material '!$F$20</f>
        <v>8.6198805000000003E-2</v>
      </c>
      <c r="H11" s="86"/>
      <c r="I11" s="1060" t="s">
        <v>588</v>
      </c>
      <c r="J11" s="86">
        <f>'OM $ Raw Material '!$F$6</f>
        <v>0.32432432432432429</v>
      </c>
      <c r="K11" s="86">
        <f>'OM $ Raw Material '!$F$6</f>
        <v>0.32432432432432429</v>
      </c>
      <c r="L11" s="86">
        <f>'OM $ Raw Material '!$F$6</f>
        <v>0.32432432432432429</v>
      </c>
      <c r="M11" s="86">
        <f>'OM $ Raw Material '!$F$6</f>
        <v>0.32432432432432429</v>
      </c>
      <c r="N11" s="86">
        <f>'OM $ Raw Material '!$F$6</f>
        <v>0.32432432432432429</v>
      </c>
      <c r="O11" s="86"/>
      <c r="P11" s="160" t="s">
        <v>588</v>
      </c>
      <c r="Q11" s="86">
        <f>'OM $ Raw Material '!$F$7</f>
        <v>0.27316499999999999</v>
      </c>
      <c r="R11" s="86">
        <f>'OM $ Raw Material '!$F$7</f>
        <v>0.27316499999999999</v>
      </c>
      <c r="S11" s="86">
        <f>'OM $ Raw Material '!$F$7</f>
        <v>0.27316499999999999</v>
      </c>
      <c r="T11" s="86">
        <f>'OM $ Raw Material '!$F$7</f>
        <v>0.27316499999999999</v>
      </c>
      <c r="U11" s="86">
        <f>'OM $ Raw Material '!$F$7</f>
        <v>0.27316499999999999</v>
      </c>
      <c r="V11" s="86"/>
      <c r="W11" s="226" t="s">
        <v>588</v>
      </c>
      <c r="X11" s="86">
        <f>'OM $ Raw Material '!$F$8</f>
        <v>0.55349999999999999</v>
      </c>
      <c r="Y11" s="86">
        <f>'OM $ Raw Material '!$F$8</f>
        <v>0.55349999999999999</v>
      </c>
      <c r="Z11" s="86">
        <f>'OM $ Raw Material '!$F$8</f>
        <v>0.55349999999999999</v>
      </c>
      <c r="AA11" s="86">
        <f>'OM $ Raw Material '!$F$8</f>
        <v>0.55349999999999999</v>
      </c>
      <c r="AB11" s="86">
        <f>'OM $ Raw Material '!$F$8</f>
        <v>0.55349999999999999</v>
      </c>
    </row>
    <row r="12" spans="2:29" x14ac:dyDescent="0.2">
      <c r="B12" s="1317" t="s">
        <v>589</v>
      </c>
      <c r="C12" s="117">
        <f>C10*'OM Assumptions'!$C$53</f>
        <v>344.53848595833335</v>
      </c>
      <c r="D12" s="117">
        <f>D10*'OM Assumptions'!$D$53</f>
        <v>675.02302367499988</v>
      </c>
      <c r="E12" s="117">
        <f>'OM Assumptions'!$E$53*E10</f>
        <v>1778.2511747000001</v>
      </c>
      <c r="F12" s="117">
        <f>F10*'OM Assumptions'!$F$53</f>
        <v>3051.5372643136161</v>
      </c>
      <c r="G12" s="117">
        <f>G10*'OM Assumptions'!$G$53</f>
        <v>4246.7056882249999</v>
      </c>
      <c r="H12" s="117"/>
      <c r="I12" s="1061" t="s">
        <v>590</v>
      </c>
      <c r="J12" s="117">
        <f>J10*'OM Assumptions'!$C$53</f>
        <v>178981.03166666668</v>
      </c>
      <c r="K12" s="117">
        <f>K10*'OM Assumptions'!$D$53</f>
        <v>350661.31099999993</v>
      </c>
      <c r="L12" s="117">
        <f>'OM Assumptions'!$E$53*L10</f>
        <v>923766.84400000004</v>
      </c>
      <c r="M12" s="117">
        <f>M10*'OM Assumptions'!$F$53</f>
        <v>1585214.1632798007</v>
      </c>
      <c r="N12" s="117">
        <f>N10*'OM Assumptions'!$G$53</f>
        <v>2206080.8769999999</v>
      </c>
      <c r="O12" s="117"/>
      <c r="P12" s="160" t="s">
        <v>591</v>
      </c>
      <c r="Q12" s="117">
        <f>Q10*'OM Assumptions'!$C$53</f>
        <v>74575.429861111115</v>
      </c>
      <c r="R12" s="117">
        <f>R10*'OM Assumptions'!$D$53</f>
        <v>146108.8795833333</v>
      </c>
      <c r="S12" s="117">
        <f>'OM Assumptions'!$E$53*S10</f>
        <v>384902.85166666668</v>
      </c>
      <c r="T12" s="117">
        <f>T10*'OM Assumptions'!$F$53</f>
        <v>660505.90136658354</v>
      </c>
      <c r="U12" s="117">
        <f>U10*'OM Assumptions'!$G$53</f>
        <v>919200.36541666661</v>
      </c>
      <c r="V12" s="117"/>
      <c r="W12" s="226" t="s">
        <v>591</v>
      </c>
      <c r="X12" s="117">
        <f>X10*'OM Assumptions'!$C$53</f>
        <v>14915.085972222223</v>
      </c>
      <c r="Y12" s="117">
        <f>Y10*'OM Assumptions'!$C$53</f>
        <v>14915.085972222223</v>
      </c>
      <c r="Z12" s="117">
        <f>Z10*'OM Assumptions'!$C$53</f>
        <v>14915.085972222223</v>
      </c>
      <c r="AA12" s="117">
        <f>AA10*'OM Assumptions'!$C$53</f>
        <v>14915.085972222223</v>
      </c>
      <c r="AB12" s="117">
        <f>AB10*'OM Assumptions'!$C$53</f>
        <v>14915.085972222223</v>
      </c>
    </row>
    <row r="13" spans="2:29" x14ac:dyDescent="0.2">
      <c r="B13" s="1317" t="s">
        <v>592</v>
      </c>
      <c r="C13" s="117">
        <f>C10*'OM Assumptions'!$C$54</f>
        <v>79.508881375000001</v>
      </c>
      <c r="D13" s="117">
        <f>D10*'OM Assumptions'!$D$54</f>
        <v>155.77454392499996</v>
      </c>
      <c r="E13" s="117">
        <f>E10*'OM Assumptions'!$E$54</f>
        <v>410.36565569999999</v>
      </c>
      <c r="F13" s="117">
        <f>F10*'OM Assumptions'!$F$54</f>
        <v>704.20090714929597</v>
      </c>
      <c r="G13" s="117">
        <f>G10*'OM Assumptions'!$G$54</f>
        <v>980.00900497499981</v>
      </c>
      <c r="H13" s="117"/>
      <c r="I13" s="1060" t="s">
        <v>593</v>
      </c>
      <c r="J13" s="117">
        <f>J10*'OM Assumptions'!$C$54</f>
        <v>41303.315000000002</v>
      </c>
      <c r="K13" s="117">
        <f>K10*'OM Assumptions'!$D$54</f>
        <v>80921.840999999986</v>
      </c>
      <c r="L13" s="117">
        <f>L10*'OM Assumptions'!$E$54</f>
        <v>213176.96399999998</v>
      </c>
      <c r="M13" s="117">
        <f>M10*'OM Assumptions'!$F$54</f>
        <v>365818.65306456934</v>
      </c>
      <c r="N13" s="117">
        <f>N10*'OM Assumptions'!$G$54</f>
        <v>509095.58699999994</v>
      </c>
      <c r="O13" s="117"/>
      <c r="P13" s="160" t="s">
        <v>593</v>
      </c>
      <c r="Q13">
        <f>Q10*'OM Assumptions'!C54</f>
        <v>17209.714583333334</v>
      </c>
      <c r="R13" s="117">
        <f>R10*'OM Assumptions'!$D$54</f>
        <v>33717.433749999997</v>
      </c>
      <c r="S13" s="117">
        <f>S10*'OM Assumptions'!$E$54</f>
        <v>88823.735000000001</v>
      </c>
      <c r="T13" s="117">
        <f>T10*'OM Assumptions'!$F$54</f>
        <v>152424.4387769039</v>
      </c>
      <c r="U13" s="117">
        <f>U10*'OM Assumptions'!$G$54</f>
        <v>212123.16124999998</v>
      </c>
      <c r="V13" s="117"/>
      <c r="W13" s="226" t="s">
        <v>593</v>
      </c>
      <c r="X13" s="141">
        <f>X10*'OM Assumptions'!C54</f>
        <v>3441.9429166666669</v>
      </c>
      <c r="Y13" s="141">
        <f>Y10*'OM Assumptions'!D54</f>
        <v>6743.4867499999991</v>
      </c>
      <c r="Z13" s="141">
        <f>Z10*'OM Assumptions'!E54</f>
        <v>17764.746999999999</v>
      </c>
      <c r="AA13" s="141">
        <f>AA10*'OM Assumptions'!F54</f>
        <v>30484.88775538078</v>
      </c>
      <c r="AB13" s="141">
        <f>AB10*'OM Assumptions'!G54</f>
        <v>42424.632249999995</v>
      </c>
    </row>
    <row r="14" spans="2:29" x14ac:dyDescent="0.2">
      <c r="B14" s="1317" t="s">
        <v>594</v>
      </c>
      <c r="C14" s="117">
        <f>C10*'OM Assumptions'!C55</f>
        <v>6.6257401145833335</v>
      </c>
      <c r="D14" s="117">
        <f t="shared" ref="D14:G14" si="0">D12/52</f>
        <v>12.981211993749998</v>
      </c>
      <c r="E14" s="117">
        <f t="shared" si="0"/>
        <v>34.197137975000004</v>
      </c>
      <c r="F14" s="117">
        <f t="shared" si="0"/>
        <v>58.683408929108005</v>
      </c>
      <c r="G14" s="117">
        <f t="shared" si="0"/>
        <v>81.667417081249994</v>
      </c>
      <c r="H14" s="117"/>
      <c r="I14" s="1060" t="s">
        <v>594</v>
      </c>
      <c r="J14" s="117">
        <f>J10*'OM Assumptions'!C55</f>
        <v>3441.9429166666669</v>
      </c>
      <c r="K14" s="117">
        <f>K10*'OM Assumptions'!D55</f>
        <v>6743.4867499999991</v>
      </c>
      <c r="L14" s="117">
        <f>L10*'OM Assumptions'!E55</f>
        <v>17764.747000000003</v>
      </c>
      <c r="M14" s="117">
        <f>M10*'OM Assumptions'!F55</f>
        <v>30484.887755380776</v>
      </c>
      <c r="N14" s="117">
        <f>N10*'OM Assumptions'!G55</f>
        <v>42424.632249999995</v>
      </c>
      <c r="O14" s="117"/>
      <c r="P14" s="160" t="s">
        <v>594</v>
      </c>
      <c r="Q14" s="117">
        <f>'OM Assumptions'!C55*Q10</f>
        <v>1434.1428819444445</v>
      </c>
      <c r="R14" s="117">
        <f>'OM Assumptions'!D55*R10</f>
        <v>2809.7861458333327</v>
      </c>
      <c r="S14" s="117">
        <f>'OM Assumptions'!E55*S10</f>
        <v>7401.9779166666667</v>
      </c>
      <c r="T14" s="117">
        <f>'OM Assumptions'!F55*T10</f>
        <v>12702.036564741991</v>
      </c>
      <c r="U14" s="117">
        <f>'OM Assumptions'!G55*U10</f>
        <v>17676.930104166666</v>
      </c>
      <c r="V14" s="117"/>
      <c r="W14" s="160" t="s">
        <v>594</v>
      </c>
      <c r="X14" s="12">
        <f>'OM Assumptions'!C55*X10</f>
        <v>286.82857638888891</v>
      </c>
      <c r="Y14" s="12">
        <f>'OM Assumptions'!D55*Y10</f>
        <v>561.95722916666659</v>
      </c>
      <c r="Z14" s="12">
        <f>'OM Assumptions'!E55*Z10</f>
        <v>1480.3955833333334</v>
      </c>
      <c r="AA14" s="12">
        <f>'OM Assumptions'!F55*AA10</f>
        <v>2540.4073129483982</v>
      </c>
      <c r="AB14" s="12">
        <f>'OM Assumptions'!G55*AB10</f>
        <v>3535.3860208333331</v>
      </c>
    </row>
    <row r="15" spans="2:29" x14ac:dyDescent="0.2">
      <c r="B15" s="1317" t="s">
        <v>595</v>
      </c>
      <c r="C15" s="117">
        <f>'OM Assumptions'!C56*'OM Raw Materials Y1 - Y5'!C10</f>
        <v>11.025898025090243</v>
      </c>
      <c r="D15" s="117">
        <f>'OM Assumptions'!D56*'OM Raw Materials Y1 - Y5'!D10</f>
        <v>21.602042520523266</v>
      </c>
      <c r="E15" s="117">
        <f>'OM Assumptions'!E56*'OM Raw Materials Y1 - Y5'!E10</f>
        <v>56.907477435221203</v>
      </c>
      <c r="F15" s="117">
        <f>'OM Assumptions'!F56*'OM Raw Materials Y1 - Y5'!F10</f>
        <v>97.655095344424723</v>
      </c>
      <c r="G15" s="117">
        <f>'OM Assumptions'!G56*'OM Raw Materials Y1 - Y5'!G10</f>
        <v>135.90279684053101</v>
      </c>
      <c r="H15" s="117"/>
      <c r="I15" s="1060" t="s">
        <v>595</v>
      </c>
      <c r="J15" s="117">
        <f>'OM Assumptions'!C56*'OM Raw Materials Y1 - Y5'!J10</f>
        <v>5727.7392338131131</v>
      </c>
      <c r="K15" s="117">
        <f>'OM Assumptions'!D56*'OM Raw Materials Y1 - Y5'!K10</f>
        <v>11221.840270401697</v>
      </c>
      <c r="L15" s="117">
        <f>'OM Assumptions'!E56*'OM Raw Materials Y1 - Y5'!L10</f>
        <v>29562.325940374649</v>
      </c>
      <c r="M15" s="117">
        <f>'OM Assumptions'!F56*'OM Raw Materials Y1 - Y5'!M10</f>
        <v>50729.91965944141</v>
      </c>
      <c r="N15" s="117">
        <f>'OM Assumptions'!G56*'OM Raw Materials Y1 - Y5'!N10</f>
        <v>70598.855501574551</v>
      </c>
      <c r="O15" s="117"/>
      <c r="P15" s="160" t="s">
        <v>595</v>
      </c>
      <c r="Q15" s="117">
        <f>'OM Assumptions'!C56*Q10</f>
        <v>2386.5580140887969</v>
      </c>
      <c r="R15" s="117">
        <f>'OM Assumptions'!D56*R10</f>
        <v>4675.7667793340406</v>
      </c>
      <c r="S15" s="117">
        <f>'OM Assumptions'!E56*S10</f>
        <v>12317.635808489438</v>
      </c>
      <c r="T15" s="117">
        <f>'OM Assumptions'!F56*T10</f>
        <v>21137.466524767256</v>
      </c>
      <c r="U15" s="117">
        <f>'OM Assumptions'!G56*U10</f>
        <v>29416.18979232273</v>
      </c>
      <c r="V15" s="117"/>
      <c r="W15" s="160" t="s">
        <v>595</v>
      </c>
      <c r="X15" s="141">
        <f>'OM Assumptions'!C56*X10</f>
        <v>477.31160281775942</v>
      </c>
      <c r="Y15" s="141">
        <f>'OM Assumptions'!D56*Y10</f>
        <v>935.15335586680806</v>
      </c>
      <c r="Z15" s="141">
        <f>'OM Assumptions'!E56*Z10</f>
        <v>2463.5271616978875</v>
      </c>
      <c r="AA15" s="141">
        <f>'OM Assumptions'!F56*AA10</f>
        <v>4227.4933049534511</v>
      </c>
      <c r="AB15" s="141">
        <f>'OM Assumptions'!G56*AB10</f>
        <v>5883.237958464546</v>
      </c>
    </row>
    <row r="16" spans="2:29" x14ac:dyDescent="0.2">
      <c r="B16" s="1317" t="s">
        <v>596</v>
      </c>
      <c r="C16" s="11">
        <f>'OM Assumptions'!$G$15</f>
        <v>3.714285714285714</v>
      </c>
      <c r="D16" s="11">
        <f>'OM Assumptions'!$G$15</f>
        <v>3.714285714285714</v>
      </c>
      <c r="E16" s="11">
        <f>'OM Assumptions'!$G$15</f>
        <v>3.714285714285714</v>
      </c>
      <c r="F16" s="11">
        <f>'OM Assumptions'!$G$15</f>
        <v>3.714285714285714</v>
      </c>
      <c r="G16" s="11">
        <f>'OM Assumptions'!$G$15</f>
        <v>3.714285714285714</v>
      </c>
      <c r="H16" s="11"/>
      <c r="I16" s="1060" t="s">
        <v>597</v>
      </c>
      <c r="J16" s="11">
        <f>'OM Assumptions'!$G$16</f>
        <v>1.857142857142857</v>
      </c>
      <c r="K16" s="11">
        <f>'OM Assumptions'!$G$16</f>
        <v>1.857142857142857</v>
      </c>
      <c r="L16" s="11">
        <f>'OM Assumptions'!$G$16</f>
        <v>1.857142857142857</v>
      </c>
      <c r="M16" s="11">
        <f>'OM Assumptions'!$G$16</f>
        <v>1.857142857142857</v>
      </c>
      <c r="N16" s="11">
        <f>'OM Assumptions'!$G$16</f>
        <v>1.857142857142857</v>
      </c>
      <c r="O16" s="11"/>
      <c r="P16" s="160" t="s">
        <v>597</v>
      </c>
      <c r="Q16" s="11">
        <f>'OM Assumptions'!$G$17</f>
        <v>0.42857142857142855</v>
      </c>
      <c r="R16" s="11">
        <f>'OM Assumptions'!$G$17</f>
        <v>0.42857142857142855</v>
      </c>
      <c r="S16" s="11">
        <f>'OM Assumptions'!$G$17</f>
        <v>0.42857142857142855</v>
      </c>
      <c r="T16" s="11">
        <f>'OM Assumptions'!$G$17</f>
        <v>0.42857142857142855</v>
      </c>
      <c r="U16" s="11">
        <f>'OM Assumptions'!$G$17</f>
        <v>0.42857142857142855</v>
      </c>
      <c r="V16" s="11"/>
      <c r="W16" s="226" t="s">
        <v>597</v>
      </c>
      <c r="X16" s="11">
        <f>'OM Assumptions'!$G$18</f>
        <v>0.5714285714285714</v>
      </c>
      <c r="Y16" s="11">
        <f>'OM Assumptions'!$G$18</f>
        <v>0.5714285714285714</v>
      </c>
      <c r="Z16" s="11">
        <f>'OM Assumptions'!$G$18</f>
        <v>0.5714285714285714</v>
      </c>
      <c r="AA16" s="11">
        <f>'OM Assumptions'!$G$18</f>
        <v>0.5714285714285714</v>
      </c>
      <c r="AB16" s="11">
        <f>'OM Assumptions'!$G$18</f>
        <v>0.5714285714285714</v>
      </c>
      <c r="AC16" s="11"/>
    </row>
    <row r="17" spans="2:30" x14ac:dyDescent="0.2">
      <c r="B17" s="1317" t="s">
        <v>598</v>
      </c>
      <c r="C17" s="136">
        <f>'OM Assumptions'!$H$15</f>
        <v>0.24761904761904763</v>
      </c>
      <c r="D17" s="136">
        <f>'OM Assumptions'!$H$15</f>
        <v>0.24761904761904763</v>
      </c>
      <c r="E17" s="136">
        <f>'OM Assumptions'!$H$15</f>
        <v>0.24761904761904763</v>
      </c>
      <c r="F17" s="136">
        <f>'OM Assumptions'!$H$15</f>
        <v>0.24761904761904763</v>
      </c>
      <c r="G17" s="136">
        <f>'OM Assumptions'!$H$15</f>
        <v>0.24761904761904763</v>
      </c>
      <c r="H17" s="136"/>
      <c r="I17" s="1060" t="s">
        <v>598</v>
      </c>
      <c r="J17" s="136">
        <f>'OM Assumptions'!$H$16</f>
        <v>0.12380952380952381</v>
      </c>
      <c r="K17" s="136">
        <f>'OM Assumptions'!$H$16</f>
        <v>0.12380952380952381</v>
      </c>
      <c r="L17" s="136">
        <f>'OM Assumptions'!$H$16</f>
        <v>0.12380952380952381</v>
      </c>
      <c r="M17" s="136">
        <f>'OM Assumptions'!$H$16</f>
        <v>0.12380952380952381</v>
      </c>
      <c r="N17" s="136">
        <f>'OM Assumptions'!$H$16</f>
        <v>0.12380952380952381</v>
      </c>
      <c r="O17" s="136"/>
      <c r="P17" s="160" t="s">
        <v>598</v>
      </c>
      <c r="Q17" s="136">
        <f>'OM Assumptions'!$H$17</f>
        <v>2.8571428571428564E-2</v>
      </c>
      <c r="R17" s="136">
        <f>'OM Assumptions'!$H$17</f>
        <v>2.8571428571428564E-2</v>
      </c>
      <c r="S17" s="136">
        <f>'OM Assumptions'!$H$17</f>
        <v>2.8571428571428564E-2</v>
      </c>
      <c r="T17" s="136">
        <f>'OM Assumptions'!$H$17</f>
        <v>2.8571428571428564E-2</v>
      </c>
      <c r="U17" s="136">
        <f>'OM Assumptions'!$H$17</f>
        <v>2.8571428571428564E-2</v>
      </c>
      <c r="V17" s="136"/>
      <c r="W17" s="226" t="s">
        <v>598</v>
      </c>
      <c r="X17" s="136">
        <f>'OM Assumptions'!$H$18</f>
        <v>3.8095238095238078E-2</v>
      </c>
      <c r="Y17" s="136">
        <f>'OM Assumptions'!$H$18</f>
        <v>3.8095238095238078E-2</v>
      </c>
      <c r="Z17" s="136">
        <f>'OM Assumptions'!$H$18</f>
        <v>3.8095238095238078E-2</v>
      </c>
      <c r="AA17" s="136">
        <f>'OM Assumptions'!$H$18</f>
        <v>3.8095238095238078E-2</v>
      </c>
      <c r="AB17" s="136">
        <f>'OM Assumptions'!$H$18</f>
        <v>3.8095238095238078E-2</v>
      </c>
    </row>
    <row r="18" spans="2:30" x14ac:dyDescent="0.2">
      <c r="B18" s="1317" t="s">
        <v>599</v>
      </c>
      <c r="C18" s="117">
        <f>SQRT((2*C12*'OM Assumptions'!$C$37)/('OM Assumptions'!$C$36*C11))*(1+'OM Assumptions'!C$11)</f>
        <v>1034.2176975288107</v>
      </c>
      <c r="D18" s="117">
        <f>SQRT((2*D12*'OM Assumptions'!$C$37)/('OM Assumptions'!$C$36*D11))*(1+'OM Assumptions'!D$11)</f>
        <v>1446.5288975906685</v>
      </c>
      <c r="E18" s="117">
        <f>SQRT((2*E12*'OM Assumptions'!$C$37)/('OM Assumptions'!$C$36*E11))*(1+'OM Assumptions'!E$11)</f>
        <v>2347.8177042413145</v>
      </c>
      <c r="F18" s="117">
        <f>SQRT((2*F12*'OM Assumptions'!$C$37)/('OM Assumptions'!$C$36*F11))*(1+'OM Assumptions'!F$11)</f>
        <v>3075.5809337680375</v>
      </c>
      <c r="G18" s="117">
        <f>SQRT((2*G12*'OM Assumptions'!$C$37)/('OM Assumptions'!$C$36*G11))*(1+'OM Assumptions'!G$11)</f>
        <v>3628.2224229530134</v>
      </c>
      <c r="H18" s="117"/>
      <c r="I18" s="1060" t="s">
        <v>599</v>
      </c>
      <c r="J18" s="117">
        <f>SQRT((2*J12*'OM Assumptions'!$C$37)/('OM Assumptions'!$C$36*J11))*(1+'OM Assumptions'!C$11)</f>
        <v>12152.271389018097</v>
      </c>
      <c r="K18" s="117">
        <f>SQRT((2*K12*'OM Assumptions'!$C$37)/('OM Assumptions'!$C$36*K11))*(1+'OM Assumptions'!D$11)</f>
        <v>16997.01308301125</v>
      </c>
      <c r="L18" s="117">
        <f>SQRT((2*L12*'OM Assumptions'!$C$37)/('OM Assumptions'!$C$36*L11))*(1+'OM Assumptions'!E$11)</f>
        <v>27587.342570191387</v>
      </c>
      <c r="M18" s="117">
        <f>SQRT((2*M12*'OM Assumptions'!$C$37)/('OM Assumptions'!$C$36*M11))*(1+'OM Assumptions'!F$11)</f>
        <v>36138.710713754444</v>
      </c>
      <c r="N18" s="117">
        <f>SQRT((2*N12*'OM Assumptions'!$C$37)/('OM Assumptions'!$C$36*N11))*(1+'OM Assumptions'!G$11)</f>
        <v>42632.362266472956</v>
      </c>
      <c r="O18" s="117"/>
      <c r="P18" s="160" t="s">
        <v>599</v>
      </c>
      <c r="Q18" s="117">
        <f>SQRT((2*Q12*'OM Assumptions'!$C$37)/('OM Assumptions'!$C$36*Q11))*(1+'OM Assumptions'!C$11)</f>
        <v>8547.3024751930916</v>
      </c>
      <c r="R18" s="117">
        <f>SQRT((2*R12*'OM Assumptions'!$C$37)/('OM Assumptions'!$C$36*R11))*(1+'OM Assumptions'!D$11)</f>
        <v>11954.852499969549</v>
      </c>
      <c r="S18" s="117">
        <f>SQRT((2*S12*'OM Assumptions'!$C$37)/('OM Assumptions'!$C$36*S11))*(1+'OM Assumptions'!E$11)</f>
        <v>19403.562830837094</v>
      </c>
      <c r="T18" s="117">
        <f>SQRT((2*T12*'OM Assumptions'!$C$37)/('OM Assumptions'!$C$36*T11))*(1+'OM Assumptions'!F$11)</f>
        <v>25418.169299041521</v>
      </c>
      <c r="U18" s="117">
        <f>SQRT((2*U12*'OM Assumptions'!$C$37)/('OM Assumptions'!$C$36*U11))*(1+'OM Assumptions'!G$11)</f>
        <v>29985.480397751038</v>
      </c>
      <c r="V18" s="117"/>
      <c r="W18" s="226" t="s">
        <v>599</v>
      </c>
      <c r="X18" s="117">
        <f>SQRT((2*X12*'OM Assumptions'!C37)/('OM Assumptions'!C36*X11))*(1+'OM Assumptions'!C$11)</f>
        <v>2685.3307507395789</v>
      </c>
      <c r="Y18" s="117">
        <f>SQRT((2*Y12*'OM Assumptions'!D37)/('OM Assumptions'!D36*Y11))*(1+'OM Assumptions'!D$11)</f>
        <v>2683.3202710160404</v>
      </c>
      <c r="Z18" s="117">
        <f>SQRT((2*Z12*'OM Assumptions'!E37)/('OM Assumptions'!E36*Z11))*(1+'OM Assumptions'!E$11)</f>
        <v>2683.3202710160404</v>
      </c>
      <c r="AA18" s="117">
        <f>SQRT((2*AA12*'OM Assumptions'!F37)/('OM Assumptions'!F36*AA11))*(1+'OM Assumptions'!F$11)</f>
        <v>2683.3202710160404</v>
      </c>
      <c r="AB18" s="117">
        <f>SQRT((2*AB12*'OM Assumptions'!G37)/('OM Assumptions'!G36*AB11))*(1+'OM Assumptions'!G$11)</f>
        <v>2683.3202710160404</v>
      </c>
    </row>
    <row r="19" spans="2:30" x14ac:dyDescent="0.2">
      <c r="B19" s="1317" t="s">
        <v>600</v>
      </c>
      <c r="C19" s="117">
        <f>C18/2</f>
        <v>517.10884876440537</v>
      </c>
      <c r="D19" s="117">
        <f>D18/2</f>
        <v>723.26444879533426</v>
      </c>
      <c r="E19" s="117">
        <f>E18/2</f>
        <v>1173.9088521206572</v>
      </c>
      <c r="F19" s="117">
        <f>F18/2</f>
        <v>1537.7904668840188</v>
      </c>
      <c r="G19" s="117">
        <f>G18/2</f>
        <v>1814.1112114765067</v>
      </c>
      <c r="H19" s="117"/>
      <c r="I19" s="1060" t="s">
        <v>600</v>
      </c>
      <c r="J19" s="117">
        <f>J18/2</f>
        <v>6076.1356945090483</v>
      </c>
      <c r="K19" s="117">
        <f>K18/2</f>
        <v>8498.5065415056251</v>
      </c>
      <c r="L19" s="117">
        <f>L18/2</f>
        <v>13793.671285095694</v>
      </c>
      <c r="M19" s="117">
        <f>M18/2</f>
        <v>18069.355356877222</v>
      </c>
      <c r="N19" s="117">
        <f>N18/2</f>
        <v>21316.181133236478</v>
      </c>
      <c r="O19" s="117"/>
      <c r="P19" s="160" t="s">
        <v>600</v>
      </c>
      <c r="Q19" s="117">
        <f>Q18/2</f>
        <v>4273.6512375965458</v>
      </c>
      <c r="R19" s="117">
        <f>R18/2</f>
        <v>5977.4262499847746</v>
      </c>
      <c r="S19" s="117">
        <f>S18/2</f>
        <v>9701.7814154185471</v>
      </c>
      <c r="T19" s="117">
        <f>T18/2</f>
        <v>12709.084649520761</v>
      </c>
      <c r="U19" s="117">
        <f>U18/2</f>
        <v>14992.740198875519</v>
      </c>
      <c r="V19" s="117"/>
      <c r="W19" s="226" t="s">
        <v>600</v>
      </c>
      <c r="X19" s="117">
        <f>X18/2</f>
        <v>1342.6653753697894</v>
      </c>
      <c r="Y19" s="117">
        <f>Y18/2</f>
        <v>1341.6601355080202</v>
      </c>
      <c r="Z19" s="117">
        <f>Z18/2</f>
        <v>1341.6601355080202</v>
      </c>
      <c r="AA19" s="117">
        <f>AA18/2</f>
        <v>1341.6601355080202</v>
      </c>
      <c r="AB19" s="117">
        <f>AB18/2</f>
        <v>1341.6601355080202</v>
      </c>
    </row>
    <row r="20" spans="2:30" x14ac:dyDescent="0.2">
      <c r="B20" s="1317" t="s">
        <v>601</v>
      </c>
      <c r="C20" s="117">
        <f>'OM Assumptions'!C$35*SQRT('OM Raw Materials Y1 - Y5'!C16*'OM Raw Materials Y1 - Y5'!C15^2+'OM Raw Materials Y1 - Y5'!C14^2*'OM Raw Materials Y1 - Y5'!C17^2)</f>
        <v>27.280492730354524</v>
      </c>
      <c r="D20" s="117">
        <f>'OM Assumptions'!D$35*SQRT('OM Raw Materials Y1 - Y5'!D16*'OM Raw Materials Y1 - Y5'!D15^2+'OM Raw Materials Y1 - Y5'!D14^2*'OM Raw Materials Y1 - Y5'!D17^2)</f>
        <v>53.448196473513178</v>
      </c>
      <c r="E20" s="117">
        <f>'OM Assumptions'!E$35*SQRT('OM Raw Materials Y1 - Y5'!E16*'OM Raw Materials Y1 - Y5'!E15^2+'OM Raw Materials Y1 - Y5'!E14^2*'OM Raw Materials Y1 - Y5'!E17^2)</f>
        <v>140.80159465846864</v>
      </c>
      <c r="F20" s="117">
        <f>'OM Assumptions'!F$35*SQRT('OM Raw Materials Y1 - Y5'!F16*'OM Raw Materials Y1 - Y5'!F15^2+'OM Raw Materials Y1 - Y5'!F14^2*'OM Raw Materials Y1 - Y5'!F17^2)</f>
        <v>241.62014854149282</v>
      </c>
      <c r="G20" s="117">
        <f>'OM Assumptions'!G$35*SQRT('OM Raw Materials Y1 - Y5'!G16*'OM Raw Materials Y1 - Y5'!G15^2+'OM Raw Materials Y1 - Y5'!G14^2*'OM Raw Materials Y1 - Y5'!G17^2)</f>
        <v>336.25336029829725</v>
      </c>
      <c r="H20" s="117"/>
      <c r="I20" s="1060" t="s">
        <v>601</v>
      </c>
      <c r="J20" s="117">
        <f>'OM Assumptions'!C$35*SQRT('OM Raw Materials Y1 - Y5'!J16*'OM Raw Materials Y1 - Y5'!J15^2+'OM Raw Materials Y1 - Y5'!J14^2*'OM Raw Materials Y1 - Y5'!J17^2)</f>
        <v>10006.037583617603</v>
      </c>
      <c r="K20" s="117">
        <f>'OM Assumptions'!D$35*SQRT('OM Raw Materials Y1 - Y5'!K16*'OM Raw Materials Y1 - Y5'!K15^2+'OM Raw Materials Y1 - Y5'!K14^2*'OM Raw Materials Y1 - Y5'!K17^2)</f>
        <v>19603.922406265156</v>
      </c>
      <c r="L20" s="117">
        <f>'OM Assumptions'!E$35*SQRT('OM Raw Materials Y1 - Y5'!L16*'OM Raw Materials Y1 - Y5'!L15^2+'OM Raw Materials Y1 - Y5'!L14^2*'OM Raw Materials Y1 - Y5'!L17^2)</f>
        <v>51643.717065942437</v>
      </c>
      <c r="M20" s="117">
        <f>'OM Assumptions'!F$35*SQRT('OM Raw Materials Y1 - Y5'!M16*'OM Raw Materials Y1 - Y5'!M15^2+'OM Raw Materials Y1 - Y5'!M14^2*'OM Raw Materials Y1 - Y5'!M17^2)</f>
        <v>88622.310130614176</v>
      </c>
      <c r="N20" s="117">
        <f>'OM Assumptions'!G$35*SQRT('OM Raw Materials Y1 - Y5'!N16*'OM Raw Materials Y1 - Y5'!N15^2+'OM Raw Materials Y1 - Y5'!N14^2*'OM Raw Materials Y1 - Y5'!N17^2)</f>
        <v>123332.22108627031</v>
      </c>
      <c r="O20" s="117"/>
      <c r="P20" s="160" t="s">
        <v>601</v>
      </c>
      <c r="Q20" s="117">
        <f>'OM Assumptions'!C$35*SQRT(Q16*Q15^2+Q14^2*Q17^2)</f>
        <v>2000.5199290565806</v>
      </c>
      <c r="R20" s="117">
        <f>'OM Assumptions'!D$35*SQRT(R16*R15^2+R14^2*R17^2)</f>
        <v>3919.4373530659195</v>
      </c>
      <c r="S20" s="117">
        <f>'OM Assumptions'!E$35*SQRT(S16*S15^2+S14^2*S17^2)</f>
        <v>10325.194597522675</v>
      </c>
      <c r="T20" s="117">
        <f>'OM Assumptions'!F$35*SQRT(T16*T15^2+T14^2*T17^2)</f>
        <v>17718.372142195032</v>
      </c>
      <c r="U20" s="117">
        <f>'OM Assumptions'!G$35*SQRT(U16*U15^2+U14^2*U17^2)</f>
        <v>24657.969162723581</v>
      </c>
      <c r="V20" s="117"/>
      <c r="W20" s="226" t="s">
        <v>601</v>
      </c>
      <c r="X20" s="117">
        <f>'OM Assumptions'!C35*SQRT('OM Raw Materials Y1 - Y5'!X16*'OM Raw Materials Y1 - Y5'!X15^2+'OM Raw Materials Y1 - Y5'!X14^2*'OM Raw Materials Y1 - Y5'!X17^2)</f>
        <v>462.05321138415741</v>
      </c>
      <c r="Y20" s="117">
        <f>'OM Assumptions'!D35*SQRT('OM Raw Materials Y1 - Y5'!Y16*'OM Raw Materials Y1 - Y5'!Y15^2+'OM Raw Materials Y1 - Y5'!Y14^2*'OM Raw Materials Y1 - Y5'!Y17^2)</f>
        <v>905.25897267975165</v>
      </c>
      <c r="Z20" s="117">
        <f>'OM Assumptions'!E35*SQRT('OM Raw Materials Y1 - Y5'!Z16*'OM Raw Materials Y1 - Y5'!Z15^2+'OM Raw Materials Y1 - Y5'!Z14^2*'OM Raw Materials Y1 - Y5'!Z17^2)</f>
        <v>2384.7747041448106</v>
      </c>
      <c r="AA20" s="117">
        <f>'OM Assumptions'!F35*SQRT('OM Raw Materials Y1 - Y5'!AA16*'OM Raw Materials Y1 - Y5'!AA15^2+'OM Raw Materials Y1 - Y5'!AA14^2*'OM Raw Materials Y1 - Y5'!AA17^2)</f>
        <v>4092.3515081709838</v>
      </c>
      <c r="AB20" s="117">
        <f>'OM Assumptions'!G35*SQRT('OM Raw Materials Y1 - Y5'!AB16*'OM Raw Materials Y1 - Y5'!AB15^2+'OM Raw Materials Y1 - Y5'!AB14^2*'OM Raw Materials Y1 - Y5'!AB17^2)</f>
        <v>5695.1663776830665</v>
      </c>
    </row>
    <row r="21" spans="2:30" x14ac:dyDescent="0.2">
      <c r="B21" s="3" t="s">
        <v>602</v>
      </c>
      <c r="I21" s="142" t="s">
        <v>602</v>
      </c>
      <c r="P21" s="142" t="s">
        <v>602</v>
      </c>
      <c r="W21" s="142" t="s">
        <v>602</v>
      </c>
      <c r="Y21" s="143"/>
    </row>
    <row r="22" spans="2:30" x14ac:dyDescent="0.2">
      <c r="B22" s="227" t="s">
        <v>603</v>
      </c>
      <c r="C22" s="144">
        <f>SUM(C19:C21)</f>
        <v>544.38934149475995</v>
      </c>
      <c r="D22" s="144">
        <f>SUM(D19:D21)</f>
        <v>776.71264526884738</v>
      </c>
      <c r="E22" s="144">
        <f>SUM(E19:E21)</f>
        <v>1314.710446779126</v>
      </c>
      <c r="F22" s="144">
        <f>SUM(F19:F21)</f>
        <v>1779.4106154255117</v>
      </c>
      <c r="G22" s="144">
        <f>SUM(G19:G21)</f>
        <v>2150.3645717748041</v>
      </c>
      <c r="H22" s="144"/>
      <c r="I22" s="145"/>
      <c r="J22" s="144">
        <f>SUM(J19:J21)</f>
        <v>16082.173278126651</v>
      </c>
      <c r="K22" s="144">
        <f>SUM(K19:K21)</f>
        <v>28102.428947770779</v>
      </c>
      <c r="L22" s="144">
        <f>SUM(L19:L21)</f>
        <v>65437.388351038127</v>
      </c>
      <c r="M22" s="144">
        <f>SUM(M19:M21)</f>
        <v>106691.66548749139</v>
      </c>
      <c r="N22" s="144">
        <f>SUM(N19:N21)</f>
        <v>144648.4022195068</v>
      </c>
      <c r="O22" s="144"/>
      <c r="P22" s="145"/>
      <c r="Q22" s="144">
        <f>SUM(Q19:Q21)</f>
        <v>6274.1711666531264</v>
      </c>
      <c r="R22" s="144">
        <f>SUM(R19:R21)</f>
        <v>9896.8636030506932</v>
      </c>
      <c r="S22" s="144">
        <f>SUM(S19:S21)</f>
        <v>20026.976012941224</v>
      </c>
      <c r="T22" s="144">
        <f>SUM(T19:T21)</f>
        <v>30427.456791715791</v>
      </c>
      <c r="U22" s="144">
        <f>SUM(U19:U21)</f>
        <v>39650.709361599103</v>
      </c>
      <c r="V22" s="144"/>
      <c r="W22" s="145"/>
      <c r="X22" s="144">
        <f>SUM(X19:X21)</f>
        <v>1804.718586753947</v>
      </c>
      <c r="Y22" s="144">
        <f>SUM(Y19:Y21)</f>
        <v>2246.9191081877716</v>
      </c>
      <c r="Z22" s="144">
        <f>SUM(Z19:Z21)</f>
        <v>3726.4348396528308</v>
      </c>
      <c r="AA22" s="144">
        <f>SUM(AA19:AA21)</f>
        <v>5434.011643679004</v>
      </c>
      <c r="AB22" s="144">
        <f>SUM(AB19:AB21)</f>
        <v>7036.8265131910866</v>
      </c>
    </row>
    <row r="23" spans="2:30" x14ac:dyDescent="0.2">
      <c r="B23" s="3"/>
      <c r="I23" s="142"/>
      <c r="P23" s="142"/>
      <c r="W23" s="142"/>
    </row>
    <row r="24" spans="2:30" x14ac:dyDescent="0.2">
      <c r="B24" s="142" t="s">
        <v>604</v>
      </c>
      <c r="C24" s="59">
        <f>(C18*C11)/2</f>
        <v>44.574164818417472</v>
      </c>
      <c r="D24" s="59">
        <f>(D18*D11)/2</f>
        <v>62.344531185141506</v>
      </c>
      <c r="E24" s="59">
        <f>(E18*E11)/2</f>
        <v>101.18954023172238</v>
      </c>
      <c r="F24" s="59">
        <f>(F18*F11)/2</f>
        <v>132.55570058579448</v>
      </c>
      <c r="G24" s="59">
        <f>(G18*G11)/2</f>
        <v>156.37421856637718</v>
      </c>
      <c r="H24" s="59"/>
      <c r="I24" s="142"/>
      <c r="J24" s="59">
        <f>(J18*J11)/2</f>
        <v>1970.638603624556</v>
      </c>
      <c r="K24" s="59">
        <f>(K18*K11)/2</f>
        <v>2756.2723918396619</v>
      </c>
      <c r="L24" s="59">
        <f>(L18*L11)/2</f>
        <v>4473.6231194904949</v>
      </c>
      <c r="M24" s="59">
        <f>(M18*M11)/2</f>
        <v>5860.331467095315</v>
      </c>
      <c r="N24" s="59">
        <f>(N18*N11)/2</f>
        <v>6913.3560432118302</v>
      </c>
      <c r="O24" s="59"/>
      <c r="P24" s="142"/>
      <c r="Q24" s="59">
        <f>(Q18*Q11)/2</f>
        <v>1167.4119403180605</v>
      </c>
      <c r="R24" s="59">
        <f>(R18*R11)/2</f>
        <v>1632.8236415770909</v>
      </c>
      <c r="S24" s="59">
        <f>(S18*S11)/2</f>
        <v>2650.1871203428072</v>
      </c>
      <c r="T24" s="59">
        <f>(T18*T11)/2</f>
        <v>3471.6771082863384</v>
      </c>
      <c r="U24" s="59">
        <f>(U18*U11)/2</f>
        <v>4095.4918764258309</v>
      </c>
      <c r="V24" s="59"/>
      <c r="W24" s="3"/>
      <c r="X24" s="59">
        <f>(X18*X11)/2</f>
        <v>743.16528526717843</v>
      </c>
      <c r="Y24" s="59">
        <f>(Y18*Y11)/2</f>
        <v>742.60888500368912</v>
      </c>
      <c r="Z24" s="59">
        <f>(Z18*Z11)/2</f>
        <v>742.60888500368912</v>
      </c>
      <c r="AA24" s="59">
        <f>(AA18*AA11)/2</f>
        <v>742.60888500368912</v>
      </c>
      <c r="AB24" s="59">
        <f>(AB18*AB11)/2</f>
        <v>742.60888500368912</v>
      </c>
      <c r="AD24" s="59"/>
    </row>
    <row r="25" spans="2:30" x14ac:dyDescent="0.2">
      <c r="B25" s="3" t="s">
        <v>605</v>
      </c>
      <c r="C25" s="59">
        <f>C20*(C11)</f>
        <v>2.3515458731677472</v>
      </c>
      <c r="D25" s="59">
        <f>D20*(D11)</f>
        <v>4.6071706654220499</v>
      </c>
      <c r="E25" s="59">
        <f>E20*(E11)</f>
        <v>12.136929201654381</v>
      </c>
      <c r="F25" s="59">
        <f>F20*(F11)</f>
        <v>20.827368068199174</v>
      </c>
      <c r="G25" s="59">
        <f>G20*(G11)</f>
        <v>28.984637834947669</v>
      </c>
      <c r="H25" s="59"/>
      <c r="I25" s="3"/>
      <c r="J25" s="59">
        <f>J20*(J11)</f>
        <v>3245.2013784705737</v>
      </c>
      <c r="K25" s="59">
        <f>K20*(K11)</f>
        <v>6358.0288885184282</v>
      </c>
      <c r="L25" s="59">
        <f>L20*(L11)</f>
        <v>16749.313643008358</v>
      </c>
      <c r="M25" s="59">
        <f>M20*(M11)</f>
        <v>28742.37085317216</v>
      </c>
      <c r="N25" s="59">
        <f>N20*(N11)</f>
        <v>39999.639271222797</v>
      </c>
      <c r="O25" s="59"/>
      <c r="P25" s="3"/>
      <c r="Q25" s="59">
        <f>Q20*(Q11)</f>
        <v>546.4720264207408</v>
      </c>
      <c r="R25" s="59">
        <f>R20*(R11)</f>
        <v>1070.6531045502518</v>
      </c>
      <c r="S25" s="59">
        <f>S20*(S11)</f>
        <v>2820.4817822322816</v>
      </c>
      <c r="T25" s="59">
        <f>T20*(T11)</f>
        <v>4840.0391262227058</v>
      </c>
      <c r="U25" s="59">
        <f>U20*(U11)</f>
        <v>6735.6941463353869</v>
      </c>
      <c r="V25" s="59"/>
      <c r="W25" s="3"/>
      <c r="X25" s="59">
        <f>X20*(X11)</f>
        <v>255.74645250113113</v>
      </c>
      <c r="Y25" s="59">
        <f>Y20*(Y11)</f>
        <v>501.06084137824251</v>
      </c>
      <c r="Z25" s="59">
        <f>Z20*(Z11)</f>
        <v>1319.9727987441527</v>
      </c>
      <c r="AA25" s="59">
        <f>AA20*(AA11)</f>
        <v>2265.1165597726394</v>
      </c>
      <c r="AB25" s="59">
        <f>AB20*(AB11)</f>
        <v>3152.274590047577</v>
      </c>
    </row>
    <row r="26" spans="2:30" x14ac:dyDescent="0.2">
      <c r="B26" s="3" t="s">
        <v>606</v>
      </c>
      <c r="C26" s="59">
        <f>SUM(C24:C25)</f>
        <v>46.925710691585216</v>
      </c>
      <c r="D26" s="59">
        <f t="shared" ref="D26:AB26" si="1">SUM(D24:D25)</f>
        <v>66.951701850563552</v>
      </c>
      <c r="E26" s="59">
        <f t="shared" si="1"/>
        <v>113.32646943337676</v>
      </c>
      <c r="F26" s="59">
        <f t="shared" si="1"/>
        <v>153.38306865399366</v>
      </c>
      <c r="G26" s="59">
        <f t="shared" si="1"/>
        <v>185.35885640132486</v>
      </c>
      <c r="H26" s="59"/>
      <c r="I26" s="59"/>
      <c r="J26" s="59">
        <f t="shared" si="1"/>
        <v>5215.8399820951299</v>
      </c>
      <c r="K26" s="59">
        <f t="shared" si="1"/>
        <v>9114.3012803580896</v>
      </c>
      <c r="L26" s="59">
        <f t="shared" si="1"/>
        <v>21222.936762498852</v>
      </c>
      <c r="M26" s="59">
        <f t="shared" si="1"/>
        <v>34602.702320267475</v>
      </c>
      <c r="N26" s="59">
        <f t="shared" si="1"/>
        <v>46912.995314434629</v>
      </c>
      <c r="O26" s="59"/>
      <c r="P26" s="59"/>
      <c r="Q26" s="59">
        <f t="shared" si="1"/>
        <v>1713.8839667388013</v>
      </c>
      <c r="R26" s="59">
        <f t="shared" si="1"/>
        <v>2703.4767461273427</v>
      </c>
      <c r="S26" s="59">
        <f t="shared" si="1"/>
        <v>5470.6689025750893</v>
      </c>
      <c r="T26" s="59">
        <f t="shared" si="1"/>
        <v>8311.7162345090437</v>
      </c>
      <c r="U26" s="59">
        <f t="shared" si="1"/>
        <v>10831.186022761218</v>
      </c>
      <c r="V26" s="59"/>
      <c r="W26" s="59"/>
      <c r="X26" s="59">
        <f t="shared" si="1"/>
        <v>998.91173776830954</v>
      </c>
      <c r="Y26" s="59">
        <f t="shared" si="1"/>
        <v>1243.6697263819317</v>
      </c>
      <c r="Z26" s="59">
        <f t="shared" si="1"/>
        <v>2062.5816837478419</v>
      </c>
      <c r="AA26" s="59">
        <f t="shared" si="1"/>
        <v>3007.7254447763285</v>
      </c>
      <c r="AB26" s="59">
        <f t="shared" si="1"/>
        <v>3894.883475051266</v>
      </c>
    </row>
    <row r="27" spans="2:30" x14ac:dyDescent="0.2">
      <c r="B27" s="3"/>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row>
    <row r="28" spans="2:30" x14ac:dyDescent="0.2">
      <c r="B28" s="228" t="s">
        <v>323</v>
      </c>
      <c r="C28" s="229">
        <v>1</v>
      </c>
      <c r="D28" s="229">
        <v>2</v>
      </c>
      <c r="E28" s="229">
        <v>3</v>
      </c>
      <c r="F28" s="229">
        <v>4</v>
      </c>
      <c r="G28" s="229">
        <v>5</v>
      </c>
      <c r="H28" s="1005"/>
      <c r="I28" s="228" t="s">
        <v>324</v>
      </c>
      <c r="J28" s="230"/>
      <c r="K28" s="230"/>
      <c r="L28" s="230"/>
      <c r="M28" s="230"/>
      <c r="N28" s="230"/>
      <c r="O28" s="1006"/>
      <c r="P28" s="228" t="s">
        <v>325</v>
      </c>
      <c r="Q28" s="230"/>
      <c r="R28" s="230"/>
      <c r="S28" s="230"/>
      <c r="T28" s="230"/>
      <c r="U28" s="230"/>
      <c r="V28" s="1006"/>
      <c r="W28" s="228" t="s">
        <v>326</v>
      </c>
      <c r="X28" s="146"/>
      <c r="Y28" s="146"/>
      <c r="Z28" s="146"/>
      <c r="AA28" s="146"/>
      <c r="AB28" s="146"/>
    </row>
    <row r="29" spans="2:30" x14ac:dyDescent="0.2">
      <c r="B29" s="3" t="s">
        <v>587</v>
      </c>
      <c r="C29" s="141">
        <f>'OM $ Raw Material '!$L$21</f>
        <v>2</v>
      </c>
      <c r="D29" s="141">
        <f>'OM $ Raw Material '!$L$21</f>
        <v>2</v>
      </c>
      <c r="E29" s="141">
        <f>'OM $ Raw Material '!$L$21</f>
        <v>2</v>
      </c>
      <c r="F29" s="141">
        <f>'OM $ Raw Material '!$L$21</f>
        <v>2</v>
      </c>
      <c r="G29" s="141">
        <f>'OM $ Raw Material '!$L$21</f>
        <v>2</v>
      </c>
      <c r="H29" s="141"/>
      <c r="I29" s="3" t="s">
        <v>587</v>
      </c>
      <c r="J29">
        <f>'OM $ Raw Material '!$L$9</f>
        <v>7</v>
      </c>
      <c r="K29">
        <f>'OM $ Raw Material '!$L$9</f>
        <v>7</v>
      </c>
      <c r="L29">
        <f>'OM $ Raw Material '!$L$9</f>
        <v>7</v>
      </c>
      <c r="M29">
        <f>'OM $ Raw Material '!$L$9</f>
        <v>7</v>
      </c>
      <c r="N29">
        <f>'OM $ Raw Material '!$L$9</f>
        <v>7</v>
      </c>
      <c r="P29" s="3" t="s">
        <v>587</v>
      </c>
      <c r="Q29">
        <f>'OM $ Raw Material '!$L$10</f>
        <v>7</v>
      </c>
      <c r="R29">
        <f>'OM $ Raw Material '!$L$10</f>
        <v>7</v>
      </c>
      <c r="S29">
        <f>'OM $ Raw Material '!$L$10</f>
        <v>7</v>
      </c>
      <c r="T29">
        <f>'OM $ Raw Material '!$L$10</f>
        <v>7</v>
      </c>
      <c r="U29">
        <f>'OM $ Raw Material '!$L$10</f>
        <v>7</v>
      </c>
      <c r="W29" s="142" t="s">
        <v>587</v>
      </c>
      <c r="X29">
        <f>'OM $ Raw Material '!$L$11</f>
        <v>1</v>
      </c>
      <c r="Y29">
        <f>'OM $ Raw Material '!$L$11</f>
        <v>1</v>
      </c>
      <c r="Z29">
        <f>'OM $ Raw Material '!$L$11</f>
        <v>1</v>
      </c>
      <c r="AA29">
        <f>'OM $ Raw Material '!$L$11</f>
        <v>1</v>
      </c>
      <c r="AB29">
        <f>'OM $ Raw Material '!$L$11</f>
        <v>1</v>
      </c>
    </row>
    <row r="30" spans="2:30" x14ac:dyDescent="0.2">
      <c r="B30" s="1318" t="s">
        <v>588</v>
      </c>
      <c r="C30" s="86">
        <f>'OM $ Raw Material '!$F$21</f>
        <v>1.0843920145190562</v>
      </c>
      <c r="D30" s="86">
        <f>'OM $ Raw Material '!$F$21</f>
        <v>1.0843920145190562</v>
      </c>
      <c r="E30" s="86">
        <f>'OM $ Raw Material '!$F$21</f>
        <v>1.0843920145190562</v>
      </c>
      <c r="F30" s="86">
        <f>'OM $ Raw Material '!$F$21</f>
        <v>1.0843920145190562</v>
      </c>
      <c r="G30" s="86">
        <f>'OM $ Raw Material '!$F$21</f>
        <v>1.0843920145190562</v>
      </c>
      <c r="H30" s="86"/>
      <c r="I30" s="1060" t="s">
        <v>588</v>
      </c>
      <c r="J30" s="86">
        <f>'OM $ Raw Material '!$F$9</f>
        <v>2.4220000000000002</v>
      </c>
      <c r="K30" s="86">
        <f>'OM $ Raw Material '!$F$9</f>
        <v>2.4220000000000002</v>
      </c>
      <c r="L30" s="86">
        <f>'OM $ Raw Material '!$F$9</f>
        <v>2.4220000000000002</v>
      </c>
      <c r="M30" s="86">
        <f>'OM $ Raw Material '!$F$9</f>
        <v>2.4220000000000002</v>
      </c>
      <c r="N30" s="86">
        <f>'OM $ Raw Material '!$F$9</f>
        <v>2.4220000000000002</v>
      </c>
      <c r="O30" s="86"/>
      <c r="P30" s="1060" t="s">
        <v>588</v>
      </c>
      <c r="Q30" s="86">
        <f>'OM $ Raw Material '!$F$10</f>
        <v>3.8254999999999999</v>
      </c>
      <c r="R30" s="86">
        <f>'OM $ Raw Material '!$F$10</f>
        <v>3.8254999999999999</v>
      </c>
      <c r="S30" s="86">
        <f>'OM $ Raw Material '!$F$10</f>
        <v>3.8254999999999999</v>
      </c>
      <c r="T30" s="86">
        <f>'OM $ Raw Material '!$F$10</f>
        <v>3.8254999999999999</v>
      </c>
      <c r="U30" s="86">
        <f>'OM $ Raw Material '!$F$10</f>
        <v>3.8254999999999999</v>
      </c>
      <c r="V30" s="86"/>
      <c r="W30" s="226" t="s">
        <v>588</v>
      </c>
      <c r="X30" s="86">
        <f>'OM $ Raw Material '!$F$11</f>
        <v>0.64595000000000002</v>
      </c>
      <c r="Y30" s="86">
        <f>'OM $ Raw Material '!$F$11</f>
        <v>0.64595000000000002</v>
      </c>
      <c r="Z30" s="86">
        <f>'OM $ Raw Material '!$F$11</f>
        <v>0.64595000000000002</v>
      </c>
      <c r="AA30" s="86">
        <f>'OM $ Raw Material '!$F$11</f>
        <v>0.64595000000000002</v>
      </c>
      <c r="AB30" s="86">
        <f>'OM $ Raw Material '!$F$11</f>
        <v>0.64595000000000002</v>
      </c>
    </row>
    <row r="31" spans="2:30" x14ac:dyDescent="0.2">
      <c r="B31" s="1318" t="s">
        <v>591</v>
      </c>
      <c r="C31" s="141">
        <f>C29*'OM Assumptions'!C53</f>
        <v>29830.171944444446</v>
      </c>
      <c r="D31" s="141">
        <f>D29*'OM Assumptions'!D53</f>
        <v>58443.551833333324</v>
      </c>
      <c r="E31" s="141">
        <f>E29*'OM Assumptions'!E53</f>
        <v>153961.14066666667</v>
      </c>
      <c r="F31" s="141">
        <f>F29*'OM Assumptions'!F53</f>
        <v>264202.36054663343</v>
      </c>
      <c r="G31" s="141">
        <f>G29*'OM Assumptions'!G53</f>
        <v>367680.14616666664</v>
      </c>
      <c r="H31" s="141"/>
      <c r="I31" s="1060" t="s">
        <v>591</v>
      </c>
      <c r="J31" s="117">
        <f>J29*'OM Assumptions'!C53</f>
        <v>104405.60180555556</v>
      </c>
      <c r="K31" s="117">
        <f>K29*'OM Assumptions'!D53</f>
        <v>204552.43141666663</v>
      </c>
      <c r="L31" s="117">
        <f>L29*'OM Assumptions'!E53</f>
        <v>538863.99233333336</v>
      </c>
      <c r="M31" s="117">
        <f>M29*'OM Assumptions'!F53</f>
        <v>924708.26191321702</v>
      </c>
      <c r="N31" s="117">
        <f>N29*'OM Assumptions'!G53</f>
        <v>1286880.5115833334</v>
      </c>
      <c r="O31" s="117"/>
      <c r="P31" s="1060" t="s">
        <v>591</v>
      </c>
      <c r="Q31" s="117">
        <f>Q29*'OM Assumptions'!C53</f>
        <v>104405.60180555556</v>
      </c>
      <c r="R31" s="117">
        <f>R29*'OM Assumptions'!D53</f>
        <v>204552.43141666663</v>
      </c>
      <c r="S31" s="117">
        <f>S29*'OM Assumptions'!E53</f>
        <v>538863.99233333336</v>
      </c>
      <c r="T31" s="117">
        <f>T29*'OM Assumptions'!F53</f>
        <v>924708.26191321702</v>
      </c>
      <c r="U31" s="117">
        <f>U29*'OM Assumptions'!G53</f>
        <v>1286880.5115833334</v>
      </c>
      <c r="V31" s="117"/>
      <c r="W31" s="226" t="s">
        <v>591</v>
      </c>
      <c r="X31" s="117">
        <f>X29*'OM Assumptions'!C53</f>
        <v>14915.085972222223</v>
      </c>
      <c r="Y31" s="117">
        <f>Y29*'OM Assumptions'!D53</f>
        <v>29221.775916666662</v>
      </c>
      <c r="Z31" s="117">
        <f>Z29*'OM Assumptions'!E53</f>
        <v>76980.570333333337</v>
      </c>
      <c r="AA31" s="117">
        <f>AA29*'OM Assumptions'!F53</f>
        <v>132101.18027331671</v>
      </c>
      <c r="AB31" s="117">
        <f>AB29*'OM Assumptions'!G53</f>
        <v>183840.07308333332</v>
      </c>
    </row>
    <row r="32" spans="2:30" x14ac:dyDescent="0.2">
      <c r="B32" s="1318" t="s">
        <v>593</v>
      </c>
      <c r="C32" s="141">
        <f>C29*'OM Assumptions'!C54</f>
        <v>6883.8858333333337</v>
      </c>
      <c r="D32" s="141">
        <f>D29*'OM Assumptions'!D54</f>
        <v>13486.973499999998</v>
      </c>
      <c r="E32" s="141">
        <f>E29*'OM Assumptions'!E54</f>
        <v>35529.493999999999</v>
      </c>
      <c r="F32" s="141">
        <f>F29*'OM Assumptions'!F54</f>
        <v>60969.775510761559</v>
      </c>
      <c r="G32" s="141">
        <f>G29*'OM Assumptions'!G54</f>
        <v>84849.26449999999</v>
      </c>
      <c r="H32" s="141"/>
      <c r="I32" s="1060" t="s">
        <v>593</v>
      </c>
      <c r="J32" s="141">
        <f>J29*'OM Assumptions'!C54</f>
        <v>24093.600416666668</v>
      </c>
      <c r="K32" s="141">
        <f>K29*'OM Assumptions'!D54</f>
        <v>47204.407249999997</v>
      </c>
      <c r="L32" s="141">
        <f>L29*'OM Assumptions'!E54</f>
        <v>124353.22899999999</v>
      </c>
      <c r="M32" s="141">
        <f>M29*'OM Assumptions'!F54</f>
        <v>213394.21428766547</v>
      </c>
      <c r="N32" s="141">
        <f>N29*'OM Assumptions'!G54</f>
        <v>296972.42574999994</v>
      </c>
      <c r="O32" s="141"/>
      <c r="P32" s="1060" t="s">
        <v>593</v>
      </c>
      <c r="Q32" s="141">
        <f>Q29*'OM Assumptions'!C54</f>
        <v>24093.600416666668</v>
      </c>
      <c r="R32" s="141">
        <f>R29*'OM Assumptions'!D54</f>
        <v>47204.407249999997</v>
      </c>
      <c r="S32" s="141">
        <f>S29*'OM Assumptions'!E54</f>
        <v>124353.22899999999</v>
      </c>
      <c r="T32" s="141">
        <f>T29*'OM Assumptions'!F54</f>
        <v>213394.21428766547</v>
      </c>
      <c r="U32" s="141">
        <f>U29*'OM Assumptions'!G54</f>
        <v>296972.42574999994</v>
      </c>
      <c r="V32" s="141"/>
      <c r="W32" s="226" t="s">
        <v>593</v>
      </c>
      <c r="X32" s="141">
        <f>X29*'OM Assumptions'!C54</f>
        <v>3441.9429166666669</v>
      </c>
      <c r="Y32" s="141">
        <f>Y29*'OM Assumptions'!D54</f>
        <v>6743.4867499999991</v>
      </c>
      <c r="Z32" s="141">
        <f>Z29*'OM Assumptions'!E54</f>
        <v>17764.746999999999</v>
      </c>
      <c r="AA32" s="141">
        <f>AA29*'OM Assumptions'!F54</f>
        <v>30484.88775538078</v>
      </c>
      <c r="AB32" s="141">
        <f>AB29*'OM Assumptions'!G54</f>
        <v>42424.632249999995</v>
      </c>
    </row>
    <row r="33" spans="2:28" x14ac:dyDescent="0.2">
      <c r="B33" s="1318" t="s">
        <v>594</v>
      </c>
      <c r="C33" s="141">
        <f>C29*'OM Assumptions'!C55</f>
        <v>573.65715277777781</v>
      </c>
      <c r="D33" s="141">
        <f>D29*'OM Assumptions'!D55</f>
        <v>1123.9144583333332</v>
      </c>
      <c r="E33" s="141">
        <f>E29*'OM Assumptions'!E55</f>
        <v>2960.7911666666669</v>
      </c>
      <c r="F33" s="141">
        <f>F29*'OM Assumptions'!F55</f>
        <v>5080.8146258967963</v>
      </c>
      <c r="G33" s="141">
        <f>G29*'OM Assumptions'!G55</f>
        <v>7070.7720416666662</v>
      </c>
      <c r="H33" s="141"/>
      <c r="I33" s="1060" t="s">
        <v>594</v>
      </c>
      <c r="J33" s="141">
        <f>'OM Assumptions'!C55*'OM Raw Materials Y1 - Y5'!J29</f>
        <v>2007.8000347222223</v>
      </c>
      <c r="K33" s="141">
        <f>'OM Assumptions'!D55*'OM Raw Materials Y1 - Y5'!K29</f>
        <v>3933.7006041666664</v>
      </c>
      <c r="L33" s="141">
        <f>'OM Assumptions'!E55*'OM Raw Materials Y1 - Y5'!L29</f>
        <v>10362.769083333334</v>
      </c>
      <c r="M33" s="141">
        <f>'OM Assumptions'!F55*'OM Raw Materials Y1 - Y5'!M29</f>
        <v>17782.851190638787</v>
      </c>
      <c r="N33" s="141">
        <f>'OM Assumptions'!G55*'OM Raw Materials Y1 - Y5'!N29</f>
        <v>24747.702145833333</v>
      </c>
      <c r="O33" s="141"/>
      <c r="P33" s="1060" t="s">
        <v>594</v>
      </c>
      <c r="Q33" s="141">
        <f>Q29*'OM Assumptions'!C55</f>
        <v>2007.8000347222223</v>
      </c>
      <c r="R33" s="141">
        <f>R29*'OM Assumptions'!D55</f>
        <v>3933.7006041666664</v>
      </c>
      <c r="S33" s="141">
        <f>S29*'OM Assumptions'!E55</f>
        <v>10362.769083333334</v>
      </c>
      <c r="T33" s="141">
        <f>T29*'OM Assumptions'!F55</f>
        <v>17782.851190638787</v>
      </c>
      <c r="U33" s="141">
        <f>U29*'OM Assumptions'!G55</f>
        <v>24747.702145833333</v>
      </c>
      <c r="V33" s="141"/>
      <c r="W33" s="160" t="s">
        <v>594</v>
      </c>
      <c r="X33" s="141">
        <f>X29*'OM Assumptions'!C55</f>
        <v>286.82857638888891</v>
      </c>
      <c r="Y33" s="141">
        <f>Y29*'OM Assumptions'!D55</f>
        <v>561.95722916666659</v>
      </c>
      <c r="Z33" s="141">
        <f>Z29*'OM Assumptions'!E55</f>
        <v>1480.3955833333334</v>
      </c>
      <c r="AA33" s="141">
        <f>AA29*'OM Assumptions'!F55</f>
        <v>2540.4073129483982</v>
      </c>
      <c r="AB33" s="141">
        <f>AB29*'OM Assumptions'!G55</f>
        <v>3535.3860208333331</v>
      </c>
    </row>
    <row r="34" spans="2:28" x14ac:dyDescent="0.2">
      <c r="B34" s="1318" t="s">
        <v>595</v>
      </c>
      <c r="C34" s="141">
        <f>'OM Assumptions'!C56*C29</f>
        <v>954.62320563551884</v>
      </c>
      <c r="D34" s="141">
        <f>'OM Assumptions'!D56*D29</f>
        <v>1870.3067117336161</v>
      </c>
      <c r="E34" s="141">
        <f>'OM Assumptions'!E56*E29</f>
        <v>4927.0543233957751</v>
      </c>
      <c r="F34" s="141">
        <f>'OM Assumptions'!F56*F29</f>
        <v>8454.9866099069022</v>
      </c>
      <c r="G34" s="141">
        <f>'OM Assumptions'!G56*G29</f>
        <v>11766.475916929092</v>
      </c>
      <c r="H34" s="141"/>
      <c r="I34" s="1060" t="s">
        <v>595</v>
      </c>
      <c r="J34" s="141">
        <f>'OM Assumptions'!C56*'OM Raw Materials Y1 - Y5'!J29</f>
        <v>3341.1812197243162</v>
      </c>
      <c r="K34" s="141">
        <f>'OM Assumptions'!D56*'OM Raw Materials Y1 - Y5'!K29</f>
        <v>6546.0734910676565</v>
      </c>
      <c r="L34" s="141">
        <f>'OM Assumptions'!E56*'OM Raw Materials Y1 - Y5'!L29</f>
        <v>17244.690131885214</v>
      </c>
      <c r="M34" s="141">
        <f>'OM Assumptions'!F56*'OM Raw Materials Y1 - Y5'!M29</f>
        <v>29592.453134674157</v>
      </c>
      <c r="N34" s="141">
        <f>'OM Assumptions'!G56*'OM Raw Materials Y1 - Y5'!N29</f>
        <v>41182.665709251822</v>
      </c>
      <c r="O34" s="141"/>
      <c r="P34" s="1060" t="s">
        <v>595</v>
      </c>
      <c r="Q34" s="141">
        <f>'OM Assumptions'!C56*Q29</f>
        <v>3341.1812197243162</v>
      </c>
      <c r="R34" s="141">
        <f>'OM Assumptions'!D56*R29</f>
        <v>6546.0734910676565</v>
      </c>
      <c r="S34" s="141">
        <f>'OM Assumptions'!E56*S29</f>
        <v>17244.690131885214</v>
      </c>
      <c r="T34" s="141">
        <f>'OM Assumptions'!F56*T29</f>
        <v>29592.453134674157</v>
      </c>
      <c r="U34" s="141">
        <f>'OM Assumptions'!G56*U29</f>
        <v>41182.665709251822</v>
      </c>
      <c r="V34" s="141"/>
      <c r="W34" s="160" t="s">
        <v>595</v>
      </c>
      <c r="X34" s="141">
        <f>'OM Assumptions'!C56*'OM Raw Materials Y1 - Y5'!X29</f>
        <v>477.31160281775942</v>
      </c>
      <c r="Y34" s="141">
        <f>'OM Assumptions'!D56*'OM Raw Materials Y1 - Y5'!Y29</f>
        <v>935.15335586680806</v>
      </c>
      <c r="Z34" s="141">
        <f>'OM Assumptions'!E56*'OM Raw Materials Y1 - Y5'!Z29</f>
        <v>2463.5271616978875</v>
      </c>
      <c r="AA34" s="141">
        <f>'OM Assumptions'!F56*'OM Raw Materials Y1 - Y5'!AA29</f>
        <v>4227.4933049534511</v>
      </c>
      <c r="AB34" s="141">
        <f>'OM Assumptions'!G56*'OM Raw Materials Y1 - Y5'!AB29</f>
        <v>5883.237958464546</v>
      </c>
    </row>
    <row r="35" spans="2:28" x14ac:dyDescent="0.2">
      <c r="B35" s="1318" t="s">
        <v>596</v>
      </c>
      <c r="C35" s="11">
        <f>'OM Assumptions'!$G$19</f>
        <v>3.714285714285714</v>
      </c>
      <c r="D35" s="11">
        <f>'OM Assumptions'!$G$19</f>
        <v>3.714285714285714</v>
      </c>
      <c r="E35" s="11">
        <f>'OM Assumptions'!$G$19</f>
        <v>3.714285714285714</v>
      </c>
      <c r="F35" s="11">
        <f>'OM Assumptions'!$G$19</f>
        <v>3.714285714285714</v>
      </c>
      <c r="G35" s="11">
        <f>'OM Assumptions'!$G$19</f>
        <v>3.714285714285714</v>
      </c>
      <c r="H35" s="11"/>
      <c r="I35" s="1060" t="s">
        <v>597</v>
      </c>
      <c r="J35" s="11">
        <f>'OM Assumptions'!$G$20</f>
        <v>2.1428571428571428</v>
      </c>
      <c r="K35" s="11">
        <f>'OM Assumptions'!$G$20</f>
        <v>2.1428571428571428</v>
      </c>
      <c r="L35" s="11">
        <f>'OM Assumptions'!$G$20</f>
        <v>2.1428571428571428</v>
      </c>
      <c r="M35" s="11">
        <f>'OM Assumptions'!$G$20</f>
        <v>2.1428571428571428</v>
      </c>
      <c r="N35" s="11">
        <f>'OM Assumptions'!$G$20</f>
        <v>2.1428571428571428</v>
      </c>
      <c r="O35" s="11"/>
      <c r="P35" s="1060" t="s">
        <v>597</v>
      </c>
      <c r="Q35" s="11">
        <f>'OM Assumptions'!$G$21</f>
        <v>1</v>
      </c>
      <c r="R35" s="11">
        <f>'OM Assumptions'!$G$21</f>
        <v>1</v>
      </c>
      <c r="S35" s="11">
        <f>'OM Assumptions'!$G$21</f>
        <v>1</v>
      </c>
      <c r="T35" s="11">
        <f>'OM Assumptions'!$G$21</f>
        <v>1</v>
      </c>
      <c r="U35" s="11">
        <f>'OM Assumptions'!$G$21</f>
        <v>1</v>
      </c>
      <c r="V35" s="11"/>
      <c r="W35" s="226" t="s">
        <v>597</v>
      </c>
      <c r="X35" s="11">
        <f>'OM Assumptions'!$G$22</f>
        <v>0.42857142857142855</v>
      </c>
      <c r="Y35" s="11">
        <f>'OM Assumptions'!$G$22</f>
        <v>0.42857142857142855</v>
      </c>
      <c r="Z35" s="11">
        <f>'OM Assumptions'!$G$22</f>
        <v>0.42857142857142855</v>
      </c>
      <c r="AA35" s="11">
        <f>'OM Assumptions'!$G$22</f>
        <v>0.42857142857142855</v>
      </c>
      <c r="AB35" s="11">
        <f>'OM Assumptions'!$G$22</f>
        <v>0.42857142857142855</v>
      </c>
    </row>
    <row r="36" spans="2:28" x14ac:dyDescent="0.2">
      <c r="B36" s="1318" t="s">
        <v>598</v>
      </c>
      <c r="C36" s="136">
        <f>'OM Assumptions'!$H$19</f>
        <v>0.24761904761904763</v>
      </c>
      <c r="D36" s="136">
        <f>'OM Assumptions'!$H$19</f>
        <v>0.24761904761904763</v>
      </c>
      <c r="E36" s="136">
        <f>'OM Assumptions'!$H$19</f>
        <v>0.24761904761904763</v>
      </c>
      <c r="F36" s="136">
        <f>'OM Assumptions'!$H$19</f>
        <v>0.24761904761904763</v>
      </c>
      <c r="G36" s="136">
        <f>'OM Assumptions'!$H$19</f>
        <v>0.24761904761904763</v>
      </c>
      <c r="H36" s="136"/>
      <c r="I36" s="1060" t="s">
        <v>598</v>
      </c>
      <c r="J36" s="136">
        <f>'OM Assumptions'!$H$20</f>
        <v>0.14285714285714279</v>
      </c>
      <c r="K36" s="136">
        <f>'OM Assumptions'!$H$20</f>
        <v>0.14285714285714279</v>
      </c>
      <c r="L36" s="136">
        <f>'OM Assumptions'!$H$20</f>
        <v>0.14285714285714279</v>
      </c>
      <c r="M36" s="136">
        <f>'OM Assumptions'!$H$20</f>
        <v>0.14285714285714279</v>
      </c>
      <c r="N36" s="136">
        <f>'OM Assumptions'!$H$20</f>
        <v>0.14285714285714279</v>
      </c>
      <c r="O36" s="136"/>
      <c r="P36" s="1060" t="s">
        <v>598</v>
      </c>
      <c r="Q36" s="136">
        <f>'OM Assumptions'!$H$21</f>
        <v>6.6666666666666652E-2</v>
      </c>
      <c r="R36" s="136">
        <f>'OM Assumptions'!$H$21</f>
        <v>6.6666666666666652E-2</v>
      </c>
      <c r="S36" s="136">
        <f>'OM Assumptions'!$H$21</f>
        <v>6.6666666666666652E-2</v>
      </c>
      <c r="T36" s="136">
        <f>'OM Assumptions'!$H$21</f>
        <v>6.6666666666666652E-2</v>
      </c>
      <c r="U36" s="136">
        <f>'OM Assumptions'!$H$21</f>
        <v>6.6666666666666652E-2</v>
      </c>
      <c r="V36" s="136"/>
      <c r="W36" s="226" t="s">
        <v>598</v>
      </c>
      <c r="X36" s="136">
        <f>'OM Assumptions'!$H$22</f>
        <v>2.8571428571428564E-2</v>
      </c>
      <c r="Y36" s="136">
        <f>'OM Assumptions'!$H$22</f>
        <v>2.8571428571428564E-2</v>
      </c>
      <c r="Z36" s="136">
        <f>'OM Assumptions'!$H$22</f>
        <v>2.8571428571428564E-2</v>
      </c>
      <c r="AA36" s="136">
        <f>'OM Assumptions'!$H$22</f>
        <v>2.8571428571428564E-2</v>
      </c>
      <c r="AB36" s="136">
        <f>'OM Assumptions'!$H$22</f>
        <v>2.8571428571428564E-2</v>
      </c>
    </row>
    <row r="37" spans="2:28" x14ac:dyDescent="0.2">
      <c r="B37" s="1318" t="s">
        <v>599</v>
      </c>
      <c r="C37" s="117">
        <f>SQRT((2*C31*'OM Assumptions'!C37)/('OM Assumptions'!C36*C30))*(1+'OM Assumptions'!C$11)</f>
        <v>2713.1789577350073</v>
      </c>
      <c r="D37" s="117">
        <f>SQRT((2*D31*'OM Assumptions'!D37)/('OM Assumptions'!D36*D30))*(1+'OM Assumptions'!D$11)</f>
        <v>3794.8410436955292</v>
      </c>
      <c r="E37" s="117">
        <f>SQRT((2*E31*'OM Assumptions'!E37)/('OM Assumptions'!E36*E30))*(1+'OM Assumptions'!E$11)</f>
        <v>6159.2927745928409</v>
      </c>
      <c r="F37" s="117">
        <f>SQRT((2*F31*'OM Assumptions'!F37)/('OM Assumptions'!F36*F30))*(1+'OM Assumptions'!F$11)</f>
        <v>8068.5154510982111</v>
      </c>
      <c r="G37" s="117">
        <f>SQRT((2*G31*'OM Assumptions'!G37)/('OM Assumptions'!G36*G30))*(1+'OM Assumptions'!G$11)</f>
        <v>9518.3216797198638</v>
      </c>
      <c r="H37" s="117"/>
      <c r="I37" s="1060" t="s">
        <v>599</v>
      </c>
      <c r="J37" s="117">
        <f>SQRT((2*J31*'OM Assumptions'!C37)/('OM Assumptions'!C36*J30))*(1+'OM Assumptions'!C$11)</f>
        <v>3396.3977801463811</v>
      </c>
      <c r="K37" s="117">
        <f>SQRT((2*K31*'OM Assumptions'!D37)/('OM Assumptions'!D36*K30))*(1+'OM Assumptions'!D$11)</f>
        <v>4750.4384699988905</v>
      </c>
      <c r="L37" s="117">
        <f>SQRT((2*L31*'OM Assumptions'!E37)/('OM Assumptions'!E36*L30))*(1+'OM Assumptions'!E$11)</f>
        <v>7710.2943199745778</v>
      </c>
      <c r="M37" s="117">
        <f>SQRT((2*M31*'OM Assumptions'!F37)/('OM Assumptions'!F36*M30))*(1+'OM Assumptions'!F$11)</f>
        <v>10100.287667741541</v>
      </c>
      <c r="N37" s="117">
        <f>SQRT((2*N31*'OM Assumptions'!G37)/('OM Assumptions'!G36*N30))*(1+'OM Assumptions'!G$11)</f>
        <v>11915.176671835725</v>
      </c>
      <c r="O37" s="117"/>
      <c r="P37" s="1060" t="s">
        <v>599</v>
      </c>
      <c r="Q37" s="117">
        <f>SQRT((2*Q31*'OM Assumptions'!C37)/('OM Assumptions'!C36*Q30))*(1+'OM Assumptions'!C$11)</f>
        <v>2702.4739392210113</v>
      </c>
      <c r="R37" s="117">
        <f>SQRT((2*R31*'OM Assumptions'!D37)/('OM Assumptions'!D36*R30))*(1+'OM Assumptions'!D$11)</f>
        <v>3779.8682592742812</v>
      </c>
      <c r="S37" s="117">
        <f>SQRT((2*S31*'OM Assumptions'!E37)/('OM Assumptions'!E36*S30))*(1+'OM Assumptions'!E$11)</f>
        <v>6134.9908969016687</v>
      </c>
      <c r="T37" s="117">
        <f>SQRT((2*T31*'OM Assumptions'!F37)/('OM Assumptions'!F36*T30))*(1+'OM Assumptions'!F$11)</f>
        <v>8036.6806150516522</v>
      </c>
      <c r="U37" s="117">
        <f>SQRT((2*U31*'OM Assumptions'!G37)/('OM Assumptions'!G36*U30))*(1+'OM Assumptions'!G$11)</f>
        <v>9480.7665418572906</v>
      </c>
      <c r="V37" s="117"/>
      <c r="W37" s="226" t="s">
        <v>599</v>
      </c>
      <c r="X37" s="117">
        <f>SQRT((2*X31*'OM Assumptions'!C37)/('OM Assumptions'!C36*X30))*(1+'OM Assumptions'!C$11)</f>
        <v>2485.7482736481165</v>
      </c>
      <c r="Y37" s="117">
        <f>SQRT((2*Y31*'OM Assumptions'!D37)/('OM Assumptions'!D36*Y30))*(1+'OM Assumptions'!D$11)</f>
        <v>3476.7406500196253</v>
      </c>
      <c r="Z37" s="117">
        <f>SQRT((2*Z31*'OM Assumptions'!E37)/('OM Assumptions'!E36*Z30))*(1+'OM Assumptions'!E$11)</f>
        <v>5642.9935584193136</v>
      </c>
      <c r="AA37" s="117">
        <f>SQRT((2*AA31*'OM Assumptions'!F37)/('OM Assumptions'!F36*AA30))*(1+'OM Assumptions'!F$11)</f>
        <v>7392.1767291803562</v>
      </c>
      <c r="AB37" s="117">
        <f>SQRT((2*AB31*'OM Assumptions'!G37)/('OM Assumptions'!G36*AB30))*(1+'OM Assumptions'!G$11)</f>
        <v>8720.4537746905062</v>
      </c>
    </row>
    <row r="38" spans="2:28" x14ac:dyDescent="0.2">
      <c r="B38" s="1318" t="s">
        <v>600</v>
      </c>
      <c r="C38" s="117">
        <f>C37/2</f>
        <v>1356.5894788675037</v>
      </c>
      <c r="D38" s="117">
        <f>D37/2</f>
        <v>1897.4205218477646</v>
      </c>
      <c r="E38" s="117">
        <f>E37/2</f>
        <v>3079.6463872964205</v>
      </c>
      <c r="F38" s="117">
        <f>F37/2</f>
        <v>4034.2577255491055</v>
      </c>
      <c r="G38" s="117">
        <f>G37/2</f>
        <v>4759.1608398599319</v>
      </c>
      <c r="H38" s="117"/>
      <c r="I38" s="1060" t="s">
        <v>600</v>
      </c>
      <c r="J38" s="117">
        <f>J37/2</f>
        <v>1698.1988900731906</v>
      </c>
      <c r="K38" s="117">
        <f>K37/2</f>
        <v>2375.2192349994452</v>
      </c>
      <c r="L38" s="117">
        <f>L37/2</f>
        <v>3855.1471599872889</v>
      </c>
      <c r="M38" s="117">
        <f>M37/2</f>
        <v>5050.1438338707703</v>
      </c>
      <c r="N38" s="117">
        <f>N37/2</f>
        <v>5957.5883359178624</v>
      </c>
      <c r="O38" s="117"/>
      <c r="P38" s="1060" t="s">
        <v>600</v>
      </c>
      <c r="Q38" s="117">
        <f>Q37/2</f>
        <v>1351.2369696105056</v>
      </c>
      <c r="R38" s="117">
        <f>R37/2</f>
        <v>1889.9341296371406</v>
      </c>
      <c r="S38" s="117">
        <f>S37/2</f>
        <v>3067.4954484508344</v>
      </c>
      <c r="T38" s="117">
        <f>T37/2</f>
        <v>4018.3403075258261</v>
      </c>
      <c r="U38" s="117">
        <f>U37/2</f>
        <v>4740.3832709286453</v>
      </c>
      <c r="V38" s="117"/>
      <c r="W38" s="226" t="s">
        <v>600</v>
      </c>
      <c r="X38" s="117">
        <f>X37/2</f>
        <v>1242.8741368240583</v>
      </c>
      <c r="Y38" s="117">
        <f>Y37/2</f>
        <v>1738.3703250098126</v>
      </c>
      <c r="Z38" s="117">
        <f>Z37/2</f>
        <v>2821.4967792096568</v>
      </c>
      <c r="AA38" s="117">
        <f>AA37/2</f>
        <v>3696.0883645901781</v>
      </c>
      <c r="AB38" s="117">
        <f>AB37/2</f>
        <v>4360.2268873452531</v>
      </c>
    </row>
    <row r="39" spans="2:28" x14ac:dyDescent="0.2">
      <c r="B39" s="1318" t="s">
        <v>601</v>
      </c>
      <c r="C39" s="117">
        <f>'OM Assumptions'!C35*SQRT('OM Raw Materials Y1 - Y5'!C35*'OM Raw Materials Y1 - Y5'!C34^2+'OM Raw Materials Y1 - Y5'!C33^2*'OM Raw Materials Y1 - Y5'!C36^2)</f>
        <v>2361.947422541517</v>
      </c>
      <c r="D39" s="117">
        <f>'OM Assumptions'!D35*SQRT('OM Raw Materials Y1 - Y5'!D35*'OM Raw Materials Y1 - Y5'!D34^2+'OM Raw Materials Y1 - Y5'!D33^2*'OM Raw Materials Y1 - Y5'!D36^2)</f>
        <v>4627.5494782262494</v>
      </c>
      <c r="E39" s="117">
        <f>'OM Assumptions'!E35*SQRT('OM Raw Materials Y1 - Y5'!E35*'OM Raw Materials Y1 - Y5'!E34^2+'OM Raw Materials Y1 - Y5'!E33^2*'OM Raw Materials Y1 - Y5'!E36^2)</f>
        <v>12190.61425614447</v>
      </c>
      <c r="F39" s="117">
        <f>'OM Assumptions'!F35*SQRT('OM Raw Materials Y1 - Y5'!F35*'OM Raw Materials Y1 - Y5'!F34^2+'OM Raw Materials Y1 - Y5'!F33^2*'OM Raw Materials Y1 - Y5'!F36^2)</f>
        <v>20919.493380215827</v>
      </c>
      <c r="G39" s="117">
        <f>'OM Assumptions'!G35*SQRT('OM Raw Materials Y1 - Y5'!G35*'OM Raw Materials Y1 - Y5'!G34^2+'OM Raw Materials Y1 - Y5'!G33^2*'OM Raw Materials Y1 - Y5'!G36^2)</f>
        <v>29112.845047471626</v>
      </c>
      <c r="H39" s="117"/>
      <c r="I39" s="1060" t="s">
        <v>601</v>
      </c>
      <c r="J39" s="117">
        <f>'OM Assumptions'!C35*SQRT('OM Raw Materials Y1 - Y5'!J35*'OM Raw Materials Y1 - Y5'!J34^2+'OM Raw Materials Y1 - Y5'!J33^2*'OM Raw Materials Y1 - Y5'!J36^2)</f>
        <v>6271.2213827368405</v>
      </c>
      <c r="K39" s="117">
        <f>'OM Assumptions'!D35*SQRT('OM Raw Materials Y1 - Y5'!K35*'OM Raw Materials Y1 - Y5'!K34^2+'OM Raw Materials Y1 - Y5'!K33^2*'OM Raw Materials Y1 - Y5'!K36^2)</f>
        <v>12286.635578999667</v>
      </c>
      <c r="L39" s="117">
        <f>'OM Assumptions'!E35*SQRT('OM Raw Materials Y1 - Y5'!L35*'OM Raw Materials Y1 - Y5'!L34^2+'OM Raw Materials Y1 - Y5'!L33^2*'OM Raw Materials Y1 - Y5'!L36^2)</f>
        <v>32367.376200765524</v>
      </c>
      <c r="M39" s="117">
        <f>'OM Assumptions'!F35*SQRT('OM Raw Materials Y1 - Y5'!M35*'OM Raw Materials Y1 - Y5'!M34^2+'OM Raw Materials Y1 - Y5'!M33^2*'OM Raw Materials Y1 - Y5'!M36^2)</f>
        <v>55543.477788708173</v>
      </c>
      <c r="N39" s="117">
        <f>'OM Assumptions'!G35*SQRT('OM Raw Materials Y1 - Y5'!N35*'OM Raw Materials Y1 - Y5'!N34^2+'OM Raw Materials Y1 - Y5'!N33^2*'OM Raw Materials Y1 - Y5'!N36^2)</f>
        <v>77297.697074710901</v>
      </c>
      <c r="O39" s="117"/>
      <c r="P39" s="1060" t="s">
        <v>601</v>
      </c>
      <c r="Q39" s="117">
        <f>'OM Assumptions'!C35*SQRT('OM Raw Materials Y1 - Y5'!Q35*'OM Raw Materials Y1 - Y5'!Q34^2+'OM Raw Materials Y1 - Y5'!Q33^2*'OM Raw Materials Y1 - Y5'!Q36^2)</f>
        <v>4280.1425146939519</v>
      </c>
      <c r="R39" s="117">
        <f>'OM Assumptions'!D35*SQRT('OM Raw Materials Y1 - Y5'!R35*'OM Raw Materials Y1 - Y5'!R34^2+'OM Raw Materials Y1 - Y5'!R33^2*'OM Raw Materials Y1 - Y5'!R36^2)</f>
        <v>8385.695240960782</v>
      </c>
      <c r="S39" s="117">
        <f>'OM Assumptions'!E35*SQRT('OM Raw Materials Y1 - Y5'!S35*'OM Raw Materials Y1 - Y5'!S34^2+'OM Raw Materials Y1 - Y5'!S33^2*'OM Raw Materials Y1 - Y5'!S36^2)</f>
        <v>22090.909331848594</v>
      </c>
      <c r="T39" s="117">
        <f>'OM Assumptions'!F35*SQRT('OM Raw Materials Y1 - Y5'!T35*'OM Raw Materials Y1 - Y5'!T34^2+'OM Raw Materials Y1 - Y5'!T33^2*'OM Raw Materials Y1 - Y5'!T36^2)</f>
        <v>37908.724024929725</v>
      </c>
      <c r="U39" s="117">
        <f>'OM Assumptions'!G35*SQRT('OM Raw Materials Y1 - Y5'!U35*'OM Raw Materials Y1 - Y5'!U34^2+'OM Raw Materials Y1 - Y5'!U33^2*'OM Raw Materials Y1 - Y5'!U36^2)</f>
        <v>52756.096355989182</v>
      </c>
      <c r="V39" s="117"/>
      <c r="W39" s="226" t="s">
        <v>601</v>
      </c>
      <c r="X39" s="117">
        <f>'OM Assumptions'!C35*SQRT('OM Raw Materials Y1 - Y5'!X35*'OM Raw Materials Y1 - Y5'!X34^2+'OM Raw Materials Y1 - Y5'!X33^2*'OM Raw Materials Y1 - Y5'!X36^2)</f>
        <v>400.10398581131619</v>
      </c>
      <c r="Y39" s="117">
        <f>'OM Assumptions'!D35*SQRT('OM Raw Materials Y1 - Y5'!Y35*'OM Raw Materials Y1 - Y5'!Y34^2+'OM Raw Materials Y1 - Y5'!Y33^2*'OM Raw Materials Y1 - Y5'!Y36^2)</f>
        <v>783.88747061318395</v>
      </c>
      <c r="Z39" s="117">
        <f>'OM Assumptions'!E35*SQRT('OM Raw Materials Y1 - Y5'!Z35*'OM Raw Materials Y1 - Y5'!Z34^2+'OM Raw Materials Y1 - Y5'!Z33^2*'OM Raw Materials Y1 - Y5'!Z36^2)</f>
        <v>2065.038919504535</v>
      </c>
      <c r="AA39" s="117">
        <f>'OM Assumptions'!F35*SQRT('OM Raw Materials Y1 - Y5'!AA35*'OM Raw Materials Y1 - Y5'!AA34^2+'OM Raw Materials Y1 - Y5'!AA33^2*'OM Raw Materials Y1 - Y5'!AA36^2)</f>
        <v>3543.674428439007</v>
      </c>
      <c r="AB39" s="117">
        <f>'OM Assumptions'!G35*SQRT('OM Raw Materials Y1 - Y5'!AB35*'OM Raw Materials Y1 - Y5'!AB34^2+'OM Raw Materials Y1 - Y5'!AB33^2*'OM Raw Materials Y1 - Y5'!AB36^2)</f>
        <v>4931.593832544716</v>
      </c>
    </row>
    <row r="40" spans="2:28" x14ac:dyDescent="0.2">
      <c r="B40" s="3" t="s">
        <v>602</v>
      </c>
      <c r="I40" s="3" t="s">
        <v>602</v>
      </c>
      <c r="P40" s="3" t="s">
        <v>602</v>
      </c>
      <c r="W40" s="142" t="s">
        <v>602</v>
      </c>
    </row>
    <row r="41" spans="2:28" x14ac:dyDescent="0.2">
      <c r="B41" s="227" t="s">
        <v>603</v>
      </c>
      <c r="C41" s="144">
        <f>SUM(C38:C40)</f>
        <v>3718.5369014090206</v>
      </c>
      <c r="D41" s="144">
        <f>SUM(D38:D40)</f>
        <v>6524.970000074014</v>
      </c>
      <c r="E41" s="144">
        <f>SUM(E38:E40)</f>
        <v>15270.260643440892</v>
      </c>
      <c r="F41" s="144">
        <f>SUM(F38:F40)</f>
        <v>24953.751105764932</v>
      </c>
      <c r="G41" s="144">
        <f>SUM(G38:G40)</f>
        <v>33872.005887331557</v>
      </c>
      <c r="H41" s="144"/>
      <c r="I41" s="227"/>
      <c r="J41" s="144">
        <f>SUM(J38:J40)</f>
        <v>7969.4202728100308</v>
      </c>
      <c r="K41" s="144">
        <f>SUM(K38:K40)</f>
        <v>14661.854813999113</v>
      </c>
      <c r="L41" s="144">
        <f>SUM(L38:L40)</f>
        <v>36222.523360752813</v>
      </c>
      <c r="M41" s="144">
        <f>SUM(M38:M40)</f>
        <v>60593.621622578939</v>
      </c>
      <c r="N41" s="144">
        <f>SUM(N38:N40)</f>
        <v>83255.28541062877</v>
      </c>
      <c r="O41" s="144"/>
      <c r="P41" s="227"/>
      <c r="Q41" s="144">
        <f>SUM(Q38:Q40)</f>
        <v>5631.3794843044579</v>
      </c>
      <c r="R41" s="144">
        <f>SUM(R38:R40)</f>
        <v>10275.629370597922</v>
      </c>
      <c r="S41" s="144">
        <f>SUM(S38:S40)</f>
        <v>25158.404780299428</v>
      </c>
      <c r="T41" s="144">
        <f>SUM(T38:T40)</f>
        <v>41927.064332455549</v>
      </c>
      <c r="U41" s="144">
        <f>SUM(U38:U40)</f>
        <v>57496.479626917826</v>
      </c>
      <c r="V41" s="144"/>
      <c r="W41" s="145"/>
      <c r="X41" s="144">
        <f>SUM(X38:X40)</f>
        <v>1642.9781226353743</v>
      </c>
      <c r="Y41" s="144">
        <f>SUM(Y38:Y40)</f>
        <v>2522.2577956229966</v>
      </c>
      <c r="Z41" s="144">
        <f>SUM(Z38:Z40)</f>
        <v>4886.5356987141913</v>
      </c>
      <c r="AA41" s="144">
        <f>SUM(AA38:AA40)</f>
        <v>7239.7627930291856</v>
      </c>
      <c r="AB41" s="144">
        <f>SUM(AB38:AB40)</f>
        <v>9291.820719889969</v>
      </c>
    </row>
    <row r="42" spans="2:28" x14ac:dyDescent="0.2">
      <c r="B42" s="3"/>
      <c r="I42" s="3"/>
      <c r="P42" s="3"/>
      <c r="W42" s="142"/>
    </row>
    <row r="43" spans="2:28" x14ac:dyDescent="0.2">
      <c r="B43" s="142" t="s">
        <v>604</v>
      </c>
      <c r="C43" s="59">
        <f>(C37*C30)/2</f>
        <v>1471.0747978644888</v>
      </c>
      <c r="D43" s="59">
        <f>(D37*D30)/2</f>
        <v>2057.5476620762965</v>
      </c>
      <c r="E43" s="59">
        <f>(E37*E30)/2</f>
        <v>3339.543949926699</v>
      </c>
      <c r="F43" s="59">
        <f>(F37*F30)/2</f>
        <v>4374.7168620972607</v>
      </c>
      <c r="G43" s="59">
        <f>(G37*G30)/2</f>
        <v>5160.796010555915</v>
      </c>
      <c r="H43" s="59"/>
      <c r="I43" s="3"/>
      <c r="J43" s="59">
        <f>(J37*J30)/2</f>
        <v>4113.037711757268</v>
      </c>
      <c r="K43" s="59">
        <f>(K37*K30)/2</f>
        <v>5752.7809871686568</v>
      </c>
      <c r="L43" s="59">
        <f>(L37*L30)/2</f>
        <v>9337.1664214892135</v>
      </c>
      <c r="M43" s="59">
        <f>(M37*M30)/2</f>
        <v>12231.448365635006</v>
      </c>
      <c r="N43" s="59">
        <f>(N37*N30)/2</f>
        <v>14429.278949593063</v>
      </c>
      <c r="O43" s="59"/>
      <c r="P43" s="3"/>
      <c r="Q43" s="59">
        <f>(Q37*Q30)/2</f>
        <v>5169.157027244989</v>
      </c>
      <c r="R43" s="59">
        <f>(R37*R30)/2</f>
        <v>7229.9430129268812</v>
      </c>
      <c r="S43" s="59">
        <f>(S37*S30)/2</f>
        <v>11734.703838048667</v>
      </c>
      <c r="T43" s="59">
        <f>(T37*T30)/2</f>
        <v>15372.160846440047</v>
      </c>
      <c r="U43" s="59">
        <f>(U37*U30)/2</f>
        <v>18134.336202937531</v>
      </c>
      <c r="V43" s="59"/>
      <c r="X43" s="59">
        <f>(X37*X30)/2</f>
        <v>802.83454868150045</v>
      </c>
      <c r="Y43" s="59">
        <f>(Y37*Y30)/2</f>
        <v>1122.9003114400884</v>
      </c>
      <c r="Z43" s="59">
        <f>(Z37*Z30)/2</f>
        <v>1822.5458445304778</v>
      </c>
      <c r="AA43" s="59">
        <f>(AA37*AA30)/2</f>
        <v>2387.4882791070258</v>
      </c>
      <c r="AB43" s="59">
        <f>(AB37*AB30)/2</f>
        <v>2816.4885578806661</v>
      </c>
    </row>
    <row r="44" spans="2:28" x14ac:dyDescent="0.2">
      <c r="B44" s="3" t="s">
        <v>605</v>
      </c>
      <c r="C44" s="59">
        <f>C39*(C30)</f>
        <v>2561.2769237178882</v>
      </c>
      <c r="D44" s="59">
        <f>D39*(D30)</f>
        <v>5018.0777009803696</v>
      </c>
      <c r="E44" s="59">
        <f>E39*(E30)</f>
        <v>13219.404751445229</v>
      </c>
      <c r="F44" s="59">
        <f>F39*(F30)</f>
        <v>22684.9315692903</v>
      </c>
      <c r="G44" s="59">
        <f>G39*(G30)</f>
        <v>31569.736689408885</v>
      </c>
      <c r="H44" s="59"/>
      <c r="I44" s="141"/>
      <c r="J44" s="59">
        <f>J39*(J30)</f>
        <v>15188.898188988629</v>
      </c>
      <c r="K44" s="59">
        <f>K39*(K30)</f>
        <v>29758.231372337195</v>
      </c>
      <c r="L44" s="59">
        <f>L39*(L30)</f>
        <v>78393.785158254104</v>
      </c>
      <c r="M44" s="59">
        <f>M39*(M30)</f>
        <v>134526.30320425119</v>
      </c>
      <c r="N44" s="59">
        <f>N39*(N30)</f>
        <v>187215.02231494981</v>
      </c>
      <c r="O44" s="59"/>
      <c r="P44" s="141"/>
      <c r="Q44" s="59">
        <f>Q39*(Q30)</f>
        <v>16373.685189961712</v>
      </c>
      <c r="R44" s="59">
        <f>R39*(R30)</f>
        <v>32079.47714429547</v>
      </c>
      <c r="S44" s="59">
        <f>S39*(S30)</f>
        <v>84508.773648986797</v>
      </c>
      <c r="T44" s="59">
        <f>T39*(T30)</f>
        <v>145019.82375736866</v>
      </c>
      <c r="U44" s="59">
        <f>U39*(U30)</f>
        <v>201818.44660983662</v>
      </c>
      <c r="V44" s="59"/>
      <c r="W44" s="141"/>
      <c r="X44" s="59">
        <f>X39*(X30)</f>
        <v>258.44716963481972</v>
      </c>
      <c r="Y44" s="59">
        <f>Y39*(Y30)</f>
        <v>506.35211164258618</v>
      </c>
      <c r="Z44" s="59">
        <f>Z39*(Z30)</f>
        <v>1333.9118900539545</v>
      </c>
      <c r="AA44" s="59">
        <f>AA39*(AA30)</f>
        <v>2289.0364970501769</v>
      </c>
      <c r="AB44" s="59">
        <f>AB39*(AB30)</f>
        <v>3185.5630361322592</v>
      </c>
    </row>
    <row r="45" spans="2:28" x14ac:dyDescent="0.2">
      <c r="B45" s="3" t="s">
        <v>607</v>
      </c>
      <c r="C45" s="59">
        <f>SUM(C43:C44)</f>
        <v>4032.3517215823767</v>
      </c>
      <c r="D45" s="59">
        <f t="shared" ref="D45:AB45" si="2">SUM(D43:D44)</f>
        <v>7075.6253630566662</v>
      </c>
      <c r="E45" s="59">
        <f t="shared" si="2"/>
        <v>16558.948701371926</v>
      </c>
      <c r="F45" s="59">
        <f t="shared" si="2"/>
        <v>27059.648431387563</v>
      </c>
      <c r="G45" s="59">
        <f t="shared" si="2"/>
        <v>36730.532699964802</v>
      </c>
      <c r="H45" s="59"/>
      <c r="I45" s="59"/>
      <c r="J45" s="59">
        <f t="shared" si="2"/>
        <v>19301.935900745899</v>
      </c>
      <c r="K45" s="59">
        <f t="shared" si="2"/>
        <v>35511.012359505854</v>
      </c>
      <c r="L45" s="59">
        <f t="shared" si="2"/>
        <v>87730.951579743312</v>
      </c>
      <c r="M45" s="59">
        <f t="shared" si="2"/>
        <v>146757.7515698862</v>
      </c>
      <c r="N45" s="59">
        <f t="shared" si="2"/>
        <v>201644.30126454285</v>
      </c>
      <c r="O45" s="59"/>
      <c r="P45" s="59"/>
      <c r="Q45" s="59">
        <f t="shared" si="2"/>
        <v>21542.8422172067</v>
      </c>
      <c r="R45" s="59">
        <f t="shared" si="2"/>
        <v>39309.420157222354</v>
      </c>
      <c r="S45" s="59">
        <f t="shared" si="2"/>
        <v>96243.477487035459</v>
      </c>
      <c r="T45" s="59">
        <f t="shared" si="2"/>
        <v>160391.9846038087</v>
      </c>
      <c r="U45" s="59">
        <f t="shared" si="2"/>
        <v>219952.78281277415</v>
      </c>
      <c r="V45" s="59"/>
      <c r="W45" s="59"/>
      <c r="X45" s="59">
        <f t="shared" si="2"/>
        <v>1061.2817183163202</v>
      </c>
      <c r="Y45" s="59">
        <f t="shared" si="2"/>
        <v>1629.2524230826746</v>
      </c>
      <c r="Z45" s="59">
        <f t="shared" si="2"/>
        <v>3156.4577345844323</v>
      </c>
      <c r="AA45" s="59">
        <f t="shared" si="2"/>
        <v>4676.5247761572027</v>
      </c>
      <c r="AB45" s="59">
        <f t="shared" si="2"/>
        <v>6002.0515940129253</v>
      </c>
    </row>
    <row r="46" spans="2:28" x14ac:dyDescent="0.2">
      <c r="B46" s="3"/>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row>
    <row r="47" spans="2:28" x14ac:dyDescent="0.2">
      <c r="B47" s="228" t="s">
        <v>327</v>
      </c>
      <c r="C47" s="229">
        <v>1</v>
      </c>
      <c r="D47" s="229">
        <v>2</v>
      </c>
      <c r="E47" s="229">
        <v>3</v>
      </c>
      <c r="F47" s="229">
        <v>4</v>
      </c>
      <c r="G47" s="229">
        <v>5</v>
      </c>
      <c r="H47" s="1005"/>
      <c r="I47" s="228" t="s">
        <v>608</v>
      </c>
      <c r="J47" s="229">
        <v>1</v>
      </c>
      <c r="K47" s="229">
        <v>2</v>
      </c>
      <c r="L47" s="229">
        <v>3</v>
      </c>
      <c r="M47" s="229">
        <v>4</v>
      </c>
      <c r="N47" s="229">
        <v>5</v>
      </c>
      <c r="O47" s="1005"/>
      <c r="P47" s="228" t="s">
        <v>329</v>
      </c>
      <c r="Q47" s="229">
        <v>1</v>
      </c>
      <c r="R47" s="229">
        <v>2</v>
      </c>
      <c r="S47" s="229">
        <v>3</v>
      </c>
      <c r="T47" s="229">
        <v>4</v>
      </c>
      <c r="U47" s="229">
        <v>5</v>
      </c>
      <c r="V47" s="1005"/>
      <c r="W47" s="228" t="s">
        <v>330</v>
      </c>
      <c r="X47" s="229">
        <v>1</v>
      </c>
      <c r="Y47" s="229">
        <v>2</v>
      </c>
      <c r="Z47" s="229">
        <v>3</v>
      </c>
      <c r="AA47" s="229">
        <v>4</v>
      </c>
      <c r="AB47" s="229">
        <v>5</v>
      </c>
    </row>
    <row r="48" spans="2:28" x14ac:dyDescent="0.2">
      <c r="B48" s="3" t="s">
        <v>587</v>
      </c>
      <c r="C48">
        <f>'OM $ Raw Material '!$L$12</f>
        <v>1</v>
      </c>
      <c r="D48">
        <f>'OM $ Raw Material '!$L$12</f>
        <v>1</v>
      </c>
      <c r="E48">
        <f>'OM $ Raw Material '!$L$12</f>
        <v>1</v>
      </c>
      <c r="F48">
        <f>'OM $ Raw Material '!$L$12</f>
        <v>1</v>
      </c>
      <c r="G48">
        <f>'OM $ Raw Material '!$L$12</f>
        <v>1</v>
      </c>
      <c r="I48" s="3" t="s">
        <v>587</v>
      </c>
      <c r="J48" s="147">
        <f>'OM $ Raw Material '!$L$22</f>
        <v>2.6417200000000002E-4</v>
      </c>
      <c r="K48" s="147">
        <f>'OM $ Raw Material '!$L$22</f>
        <v>2.6417200000000002E-4</v>
      </c>
      <c r="L48" s="147">
        <f>'OM $ Raw Material '!$L$22</f>
        <v>2.6417200000000002E-4</v>
      </c>
      <c r="M48" s="147">
        <f>'OM $ Raw Material '!$L$22</f>
        <v>2.6417200000000002E-4</v>
      </c>
      <c r="N48" s="147">
        <f>'OM $ Raw Material '!$L$22</f>
        <v>2.6417200000000002E-4</v>
      </c>
      <c r="O48" s="147"/>
      <c r="P48" s="3" t="s">
        <v>587</v>
      </c>
      <c r="Q48" s="128">
        <f>'OM $ Raw Material '!$L$23</f>
        <v>6.2500000000000001E-4</v>
      </c>
      <c r="R48" s="128">
        <f>'OM $ Raw Material '!$L$23</f>
        <v>6.2500000000000001E-4</v>
      </c>
      <c r="S48" s="128">
        <f>'OM $ Raw Material '!$L$23</f>
        <v>6.2500000000000001E-4</v>
      </c>
      <c r="T48" s="128">
        <f>'OM $ Raw Material '!$L$23</f>
        <v>6.2500000000000001E-4</v>
      </c>
      <c r="U48" s="128">
        <f>'OM $ Raw Material '!$L$23</f>
        <v>6.2500000000000001E-4</v>
      </c>
      <c r="V48" s="128"/>
      <c r="W48" s="142" t="s">
        <v>587</v>
      </c>
      <c r="X48">
        <f>'OM $ Raw Material '!$L$24</f>
        <v>0.04</v>
      </c>
      <c r="Y48">
        <f>'OM $ Raw Material '!$L$24</f>
        <v>0.04</v>
      </c>
      <c r="Z48">
        <f>'OM $ Raw Material '!$L$24</f>
        <v>0.04</v>
      </c>
      <c r="AA48">
        <f>'OM $ Raw Material '!$L$24</f>
        <v>0.04</v>
      </c>
      <c r="AB48">
        <f>'OM $ Raw Material '!$L$24</f>
        <v>0.04</v>
      </c>
    </row>
    <row r="49" spans="2:28" x14ac:dyDescent="0.2">
      <c r="B49" s="1060" t="s">
        <v>588</v>
      </c>
      <c r="C49" s="86">
        <f>'OM $ Raw Material '!F12</f>
        <v>2.7821479999999998</v>
      </c>
      <c r="D49" s="86">
        <f>'OM $ Raw Material '!$F$12</f>
        <v>2.7821479999999998</v>
      </c>
      <c r="E49" s="86">
        <f>'OM $ Raw Material '!$F$12</f>
        <v>2.7821479999999998</v>
      </c>
      <c r="F49" s="86">
        <f>'OM $ Raw Material '!$F$12</f>
        <v>2.7821479999999998</v>
      </c>
      <c r="G49" s="86">
        <f>'OM $ Raw Material '!$F$12</f>
        <v>2.7821479999999998</v>
      </c>
      <c r="H49" s="86"/>
      <c r="I49" s="160" t="s">
        <v>588</v>
      </c>
      <c r="J49" s="984">
        <f>'OM $ Raw Material '!$F$22</f>
        <v>1.5850320000000001E-2</v>
      </c>
      <c r="K49" s="86">
        <f>'OM $ Raw Material '!$F$22</f>
        <v>1.5850320000000001E-2</v>
      </c>
      <c r="L49" s="86">
        <f>'OM $ Raw Material '!$F$22</f>
        <v>1.5850320000000001E-2</v>
      </c>
      <c r="M49" s="86">
        <f>'OM $ Raw Material '!$F$22</f>
        <v>1.5850320000000001E-2</v>
      </c>
      <c r="N49" s="86">
        <f>'OM $ Raw Material '!$F$22</f>
        <v>1.5850320000000001E-2</v>
      </c>
      <c r="O49" s="86"/>
      <c r="P49" s="160" t="s">
        <v>588</v>
      </c>
      <c r="Q49" s="86">
        <f>'OM $ Raw Material '!$F$23</f>
        <v>2.29625E-2</v>
      </c>
      <c r="R49" s="86">
        <f>'OM $ Raw Material '!$F$23</f>
        <v>2.29625E-2</v>
      </c>
      <c r="S49" s="86">
        <f>'OM $ Raw Material '!$F$23</f>
        <v>2.29625E-2</v>
      </c>
      <c r="T49" s="86">
        <f>'OM $ Raw Material '!$F$23</f>
        <v>2.29625E-2</v>
      </c>
      <c r="U49" s="86">
        <f>'OM $ Raw Material '!$F$23</f>
        <v>2.29625E-2</v>
      </c>
      <c r="V49" s="86"/>
      <c r="W49" s="226" t="s">
        <v>588</v>
      </c>
      <c r="X49" s="86">
        <f>'OM $ Raw Material '!$F$24</f>
        <v>0.58520000000000005</v>
      </c>
      <c r="Y49" s="86">
        <f>'OM $ Raw Material '!$F$24</f>
        <v>0.58520000000000005</v>
      </c>
      <c r="Z49" s="86">
        <f>'OM $ Raw Material '!$F$24</f>
        <v>0.58520000000000005</v>
      </c>
      <c r="AA49" s="86">
        <f>'OM $ Raw Material '!$F$24</f>
        <v>0.58520000000000005</v>
      </c>
      <c r="AB49" s="86">
        <f>'OM $ Raw Material '!$F$24</f>
        <v>0.58520000000000005</v>
      </c>
    </row>
    <row r="50" spans="2:28" x14ac:dyDescent="0.2">
      <c r="B50" s="1060" t="s">
        <v>591</v>
      </c>
      <c r="C50" s="117">
        <f>C48*'OM Assumptions'!C53</f>
        <v>14915.085972222223</v>
      </c>
      <c r="D50" s="117">
        <f>D48*'OM Assumptions'!D53</f>
        <v>29221.775916666662</v>
      </c>
      <c r="E50" s="117">
        <f>E48*'OM Assumptions'!E53</f>
        <v>76980.570333333337</v>
      </c>
      <c r="F50" s="117">
        <f>F48*'OM Assumptions'!F53</f>
        <v>132101.18027331671</v>
      </c>
      <c r="G50" s="117">
        <f>G48*'OM Assumptions'!G53</f>
        <v>183840.07308333332</v>
      </c>
      <c r="H50" s="117"/>
      <c r="I50" s="160" t="s">
        <v>591</v>
      </c>
      <c r="J50">
        <f>J48*'OM Assumptions'!$C$53</f>
        <v>3.9401480914538896</v>
      </c>
      <c r="K50" s="117">
        <f>K48*'OM Assumptions'!$D$53</f>
        <v>7.7195749874576656</v>
      </c>
      <c r="L50" s="117">
        <f>'OM Assumptions'!$E$53*L48</f>
        <v>20.336111226097337</v>
      </c>
      <c r="M50" s="117">
        <f>M48*'OM Assumptions'!$F$53</f>
        <v>34.897432995162625</v>
      </c>
      <c r="N50" s="117">
        <f>N48*'OM Assumptions'!$G$53</f>
        <v>48.565399786570332</v>
      </c>
      <c r="O50" s="117"/>
      <c r="P50" s="160" t="s">
        <v>591</v>
      </c>
      <c r="Q50" s="141">
        <f>Q48*'OM Assumptions'!C53</f>
        <v>9.3219287326388898</v>
      </c>
      <c r="R50" s="141">
        <f>R48*'OM Assumptions'!D53</f>
        <v>18.263609947916663</v>
      </c>
      <c r="S50" s="141">
        <f>S48*'OM Assumptions'!E53</f>
        <v>48.11285645833334</v>
      </c>
      <c r="T50" s="141">
        <f>T48*'OM Assumptions'!F53</f>
        <v>82.563237670822943</v>
      </c>
      <c r="U50" s="141">
        <f>U48*'OM Assumptions'!G53</f>
        <v>114.90004567708333</v>
      </c>
      <c r="V50" s="141"/>
      <c r="W50" s="226" t="s">
        <v>591</v>
      </c>
      <c r="X50" s="141">
        <f>X48*'OM Assumptions'!C53</f>
        <v>596.60343888888895</v>
      </c>
      <c r="Y50" s="141">
        <f>Y48*'OM Assumptions'!D53</f>
        <v>1168.8710366666664</v>
      </c>
      <c r="Z50" s="141">
        <f>Z48*'OM Assumptions'!E53</f>
        <v>3079.2228133333338</v>
      </c>
      <c r="AA50" s="141">
        <f>AA48*'OM Assumptions'!F53</f>
        <v>5284.0472109326683</v>
      </c>
      <c r="AB50" s="141">
        <f>AB48*'OM Assumptions'!G53</f>
        <v>7353.6029233333329</v>
      </c>
    </row>
    <row r="51" spans="2:28" x14ac:dyDescent="0.2">
      <c r="B51" s="1060" t="s">
        <v>593</v>
      </c>
      <c r="C51" s="141">
        <f>C48*'OM Assumptions'!C54</f>
        <v>3441.9429166666669</v>
      </c>
      <c r="D51" s="141">
        <f>D48*'OM Assumptions'!D54</f>
        <v>6743.4867499999991</v>
      </c>
      <c r="E51" s="141">
        <f>E48*'OM Assumptions'!E54</f>
        <v>17764.746999999999</v>
      </c>
      <c r="F51" s="141">
        <f>F48*'OM Assumptions'!F54</f>
        <v>30484.88775538078</v>
      </c>
      <c r="G51" s="141">
        <f>G48*'OM Assumptions'!G54</f>
        <v>42424.632249999995</v>
      </c>
      <c r="H51" s="141"/>
      <c r="I51" s="160" t="s">
        <v>593</v>
      </c>
      <c r="J51">
        <f>J48*'OM Assumptions'!$C$54</f>
        <v>0.90926494418166681</v>
      </c>
      <c r="K51" s="117">
        <f>K48*'OM Assumptions'!$D$54</f>
        <v>1.7814403817209998</v>
      </c>
      <c r="L51" s="117">
        <f>L48*'OM Assumptions'!$E$54</f>
        <v>4.6929487444840001</v>
      </c>
      <c r="M51" s="117">
        <f>M48*'OM Assumptions'!$F$54</f>
        <v>8.0532537681144518</v>
      </c>
      <c r="N51" s="117">
        <f>N48*'OM Assumptions'!$G$54</f>
        <v>11.207399950747</v>
      </c>
      <c r="O51" s="117"/>
      <c r="P51" s="160" t="s">
        <v>593</v>
      </c>
      <c r="Q51" s="141">
        <f>Q48*'OM Assumptions'!C54</f>
        <v>2.1512143229166667</v>
      </c>
      <c r="R51" s="141">
        <f>R48*'OM Assumptions'!D54</f>
        <v>4.2146792187499997</v>
      </c>
      <c r="S51" s="141">
        <f>S48*'OM Assumptions'!E54</f>
        <v>11.102966875</v>
      </c>
      <c r="T51" s="141">
        <f>T48*'OM Assumptions'!F54</f>
        <v>19.053054847112989</v>
      </c>
      <c r="U51" s="141">
        <f>U48*'OM Assumptions'!G54</f>
        <v>26.515395156249998</v>
      </c>
      <c r="V51" s="141"/>
      <c r="W51" s="226" t="s">
        <v>593</v>
      </c>
      <c r="X51" s="141">
        <f>X48*'OM Assumptions'!C54</f>
        <v>137.67771666666667</v>
      </c>
      <c r="Y51" s="141">
        <f>Y48*'OM Assumptions'!D54</f>
        <v>269.73946999999998</v>
      </c>
      <c r="Z51" s="141">
        <f>Z48*'OM Assumptions'!E54</f>
        <v>710.58987999999999</v>
      </c>
      <c r="AA51" s="141">
        <f>AA48*'OM Assumptions'!F54</f>
        <v>1219.3955102152313</v>
      </c>
      <c r="AB51" s="141">
        <f>AB48*'OM Assumptions'!G54</f>
        <v>1696.9852899999998</v>
      </c>
    </row>
    <row r="52" spans="2:28" x14ac:dyDescent="0.2">
      <c r="B52" s="1060" t="s">
        <v>594</v>
      </c>
      <c r="C52" s="141">
        <f>'OM Assumptions'!C55*'OM Raw Materials Y1 - Y5'!C48</f>
        <v>286.82857638888891</v>
      </c>
      <c r="D52" s="141">
        <f>'OM Assumptions'!D55*'OM Raw Materials Y1 - Y5'!D48</f>
        <v>561.95722916666659</v>
      </c>
      <c r="E52" s="141">
        <f>'OM Assumptions'!E55*'OM Raw Materials Y1 - Y5'!E48</f>
        <v>1480.3955833333334</v>
      </c>
      <c r="F52" s="141">
        <f>'OM Assumptions'!F55*'OM Raw Materials Y1 - Y5'!F48</f>
        <v>2540.4073129483982</v>
      </c>
      <c r="G52" s="141">
        <f>'OM Assumptions'!G55*'OM Raw Materials Y1 - Y5'!G48</f>
        <v>3535.3860208333331</v>
      </c>
      <c r="H52" s="141"/>
      <c r="I52" s="160" t="s">
        <v>594</v>
      </c>
      <c r="J52">
        <f>'OM Assumptions'!C55*'OM Raw Materials Y1 - Y5'!J48</f>
        <v>7.5772078681805563E-2</v>
      </c>
      <c r="K52">
        <f>'OM Assumptions'!D55*'OM Raw Materials Y1 - Y5'!K48</f>
        <v>0.14845336514341667</v>
      </c>
      <c r="L52">
        <f>'OM Assumptions'!E55*'OM Raw Materials Y1 - Y5'!L48</f>
        <v>0.39107906204033338</v>
      </c>
      <c r="M52">
        <f>'OM Assumptions'!F55*'OM Raw Materials Y1 - Y5'!M48</f>
        <v>0.67110448067620432</v>
      </c>
      <c r="N52">
        <f>'OM Assumptions'!G55*'OM Raw Materials Y1 - Y5'!N48</f>
        <v>0.93394999589558336</v>
      </c>
      <c r="P52" s="160" t="s">
        <v>594</v>
      </c>
      <c r="Q52" s="141">
        <f>'OM Assumptions'!C55*'OM Raw Materials Y1 - Y5'!Q48</f>
        <v>0.17926786024305558</v>
      </c>
      <c r="R52" s="141">
        <f>'OM Assumptions'!D55*'OM Raw Materials Y1 - Y5'!R48</f>
        <v>0.35122326822916661</v>
      </c>
      <c r="S52" s="141">
        <f>'OM Assumptions'!E55*'OM Raw Materials Y1 - Y5'!S48</f>
        <v>0.92524723958333344</v>
      </c>
      <c r="T52" s="141">
        <f>'OM Assumptions'!F55*'OM Raw Materials Y1 - Y5'!T48</f>
        <v>1.5877545705927489</v>
      </c>
      <c r="U52" s="141">
        <f>'OM Assumptions'!G55*'OM Raw Materials Y1 - Y5'!U48</f>
        <v>2.2096162630208331</v>
      </c>
      <c r="V52" s="141"/>
      <c r="W52" s="160" t="s">
        <v>594</v>
      </c>
      <c r="X52" s="141">
        <f>'OM Assumptions'!C55*'OM Raw Materials Y1 - Y5'!X48</f>
        <v>11.473143055555557</v>
      </c>
      <c r="Y52" s="141">
        <f>'OM Assumptions'!D55*'OM Raw Materials Y1 - Y5'!Y48</f>
        <v>22.478289166666663</v>
      </c>
      <c r="Z52" s="141">
        <f>'OM Assumptions'!E55*'OM Raw Materials Y1 - Y5'!Z48</f>
        <v>59.21582333333334</v>
      </c>
      <c r="AA52" s="141">
        <f>'OM Assumptions'!F55*'OM Raw Materials Y1 - Y5'!AA48</f>
        <v>101.61629251793593</v>
      </c>
      <c r="AB52" s="141">
        <f>'OM Assumptions'!G55*'OM Raw Materials Y1 - Y5'!AB48</f>
        <v>141.41544083333332</v>
      </c>
    </row>
    <row r="53" spans="2:28" x14ac:dyDescent="0.2">
      <c r="B53" s="1060" t="s">
        <v>595</v>
      </c>
      <c r="C53" s="141">
        <f>C48*'OM Assumptions'!C56</f>
        <v>477.31160281775942</v>
      </c>
      <c r="D53" s="141">
        <f>D48*'OM Assumptions'!D56</f>
        <v>935.15335586680806</v>
      </c>
      <c r="E53" s="141">
        <f>E48*'OM Assumptions'!E56</f>
        <v>2463.5271616978875</v>
      </c>
      <c r="F53" s="141">
        <f>F48*'OM Assumptions'!F56</f>
        <v>4227.4933049534511</v>
      </c>
      <c r="G53" s="141">
        <f>G48*'OM Assumptions'!G56</f>
        <v>5883.237958464546</v>
      </c>
      <c r="H53" s="141"/>
      <c r="I53" s="160" t="s">
        <v>595</v>
      </c>
      <c r="J53">
        <f>'OM Assumptions'!C56*'OM Raw Materials Y1 - Y5'!J48</f>
        <v>0.12609236073957314</v>
      </c>
      <c r="K53">
        <f>'OM Assumptions'!D56*'OM Raw Materials Y1 - Y5'!K48</f>
        <v>0.24704133232604644</v>
      </c>
      <c r="L53">
        <f>'OM Assumptions'!E56*'OM Raw Materials Y1 - Y5'!L48</f>
        <v>0.65079489736005436</v>
      </c>
      <c r="M53">
        <f>'OM Assumptions'!F56*'OM Raw Materials Y1 - Y5'!M48</f>
        <v>1.1167853613561631</v>
      </c>
      <c r="N53">
        <f>'OM Assumptions'!G56*'OM Raw Materials Y1 - Y5'!N48</f>
        <v>1.5541867379634962</v>
      </c>
      <c r="P53" s="160" t="s">
        <v>595</v>
      </c>
      <c r="Q53" s="136">
        <f>'OM Assumptions'!C56*'OM Raw Materials Y1 - Y5'!Q48</f>
        <v>0.29831975176109965</v>
      </c>
      <c r="R53" s="136">
        <f>'OM Assumptions'!D56*'OM Raw Materials Y1 - Y5'!R48</f>
        <v>0.58447084741675503</v>
      </c>
      <c r="S53" s="136">
        <f>'OM Assumptions'!E56*'OM Raw Materials Y1 - Y5'!S48</f>
        <v>1.5397044760611798</v>
      </c>
      <c r="T53" s="136">
        <f>'OM Assumptions'!F56*'OM Raw Materials Y1 - Y5'!T48</f>
        <v>2.6421833155959069</v>
      </c>
      <c r="U53" s="136">
        <f>'OM Assumptions'!G56*'OM Raw Materials Y1 - Y5'!U48</f>
        <v>3.6770237240403412</v>
      </c>
      <c r="V53" s="136"/>
      <c r="W53" s="160" t="s">
        <v>595</v>
      </c>
      <c r="X53" s="141">
        <f>X48*'OM Assumptions'!C56</f>
        <v>19.092464112710378</v>
      </c>
      <c r="Y53" s="141">
        <f>Y48*'OM Assumptions'!D56</f>
        <v>37.406134234672322</v>
      </c>
      <c r="Z53" s="141">
        <f>Z48*'OM Assumptions'!E56</f>
        <v>98.541086467915505</v>
      </c>
      <c r="AA53" s="141">
        <f>AA48*'OM Assumptions'!F56</f>
        <v>169.09973219813804</v>
      </c>
      <c r="AB53" s="141">
        <f>AB48*'OM Assumptions'!G56</f>
        <v>235.32951833858183</v>
      </c>
    </row>
    <row r="54" spans="2:28" x14ac:dyDescent="0.2">
      <c r="B54" s="1060" t="s">
        <v>597</v>
      </c>
      <c r="C54" s="11">
        <f>'OM Assumptions'!$G$23</f>
        <v>2.1428571428571428</v>
      </c>
      <c r="D54" s="11">
        <f>'OM Assumptions'!$G$23</f>
        <v>2.1428571428571428</v>
      </c>
      <c r="E54" s="11">
        <f>'OM Assumptions'!$G$23</f>
        <v>2.1428571428571428</v>
      </c>
      <c r="F54" s="11">
        <f>'OM Assumptions'!$G$23</f>
        <v>2.1428571428571428</v>
      </c>
      <c r="G54" s="11">
        <f>'OM Assumptions'!$G$23</f>
        <v>2.1428571428571428</v>
      </c>
      <c r="H54" s="11"/>
      <c r="I54" s="160" t="s">
        <v>597</v>
      </c>
      <c r="J54" s="11">
        <f>'OM Assumptions'!$G$24</f>
        <v>0.14285714285714285</v>
      </c>
      <c r="K54" s="11">
        <f>'OM Assumptions'!$G$24</f>
        <v>0.14285714285714285</v>
      </c>
      <c r="L54" s="11">
        <f>'OM Assumptions'!$G$24</f>
        <v>0.14285714285714285</v>
      </c>
      <c r="M54" s="11">
        <f>'OM Assumptions'!$G$24</f>
        <v>0.14285714285714285</v>
      </c>
      <c r="N54" s="11">
        <f>'OM Assumptions'!$G$24</f>
        <v>0.14285714285714285</v>
      </c>
      <c r="O54" s="11"/>
      <c r="P54" s="160" t="s">
        <v>597</v>
      </c>
      <c r="Q54" s="11">
        <f>'OM Assumptions'!$G$25</f>
        <v>0.5714285714285714</v>
      </c>
      <c r="R54" s="11">
        <f>'OM Assumptions'!$G$25</f>
        <v>0.5714285714285714</v>
      </c>
      <c r="S54" s="11">
        <f>'OM Assumptions'!$G$25</f>
        <v>0.5714285714285714</v>
      </c>
      <c r="T54" s="11">
        <f>'OM Assumptions'!$G$25</f>
        <v>0.5714285714285714</v>
      </c>
      <c r="U54" s="11">
        <f>'OM Assumptions'!$G$25</f>
        <v>0.5714285714285714</v>
      </c>
      <c r="V54" s="11"/>
      <c r="W54" s="226" t="s">
        <v>597</v>
      </c>
      <c r="X54" s="11">
        <f>'OM Assumptions'!$D$26</f>
        <v>0.5714285714285714</v>
      </c>
      <c r="Y54" s="11">
        <f>'OM Assumptions'!$D$26</f>
        <v>0.5714285714285714</v>
      </c>
      <c r="Z54" s="11">
        <f>'OM Assumptions'!$D$26</f>
        <v>0.5714285714285714</v>
      </c>
      <c r="AA54" s="11">
        <f>'OM Assumptions'!$D$26</f>
        <v>0.5714285714285714</v>
      </c>
      <c r="AB54" s="11">
        <f>'OM Assumptions'!$D$26</f>
        <v>0.5714285714285714</v>
      </c>
    </row>
    <row r="55" spans="2:28" x14ac:dyDescent="0.2">
      <c r="B55" s="1060" t="s">
        <v>598</v>
      </c>
      <c r="C55" s="136">
        <f>'OM Assumptions'!$H$23</f>
        <v>0.14285714285714279</v>
      </c>
      <c r="D55" s="136">
        <f>'OM Assumptions'!$H$23</f>
        <v>0.14285714285714279</v>
      </c>
      <c r="E55" s="136">
        <f>'OM Assumptions'!$H$23</f>
        <v>0.14285714285714279</v>
      </c>
      <c r="F55" s="136">
        <f>'OM Assumptions'!$H$23</f>
        <v>0.14285714285714279</v>
      </c>
      <c r="G55" s="136">
        <f>'OM Assumptions'!$H$23</f>
        <v>0.14285714285714279</v>
      </c>
      <c r="H55" s="136"/>
      <c r="I55" s="160" t="s">
        <v>598</v>
      </c>
      <c r="J55" s="136">
        <f>'OM Assumptions'!$H$24</f>
        <v>9.5238095238095195E-3</v>
      </c>
      <c r="K55" s="136">
        <f>'OM Assumptions'!$H$24</f>
        <v>9.5238095238095195E-3</v>
      </c>
      <c r="L55" s="136">
        <f>'OM Assumptions'!$H$24</f>
        <v>9.5238095238095195E-3</v>
      </c>
      <c r="M55" s="136">
        <f>'OM Assumptions'!$H$24</f>
        <v>9.5238095238095195E-3</v>
      </c>
      <c r="N55" s="136">
        <f>'OM Assumptions'!$H$24</f>
        <v>9.5238095238095195E-3</v>
      </c>
      <c r="O55" s="136"/>
      <c r="P55" s="160" t="s">
        <v>598</v>
      </c>
      <c r="Q55" s="136">
        <f>'OM Assumptions'!$H$25</f>
        <v>3.8095238095238078E-2</v>
      </c>
      <c r="R55" s="136">
        <f>'OM Assumptions'!$H$25</f>
        <v>3.8095238095238078E-2</v>
      </c>
      <c r="S55" s="136">
        <f>'OM Assumptions'!$H$25</f>
        <v>3.8095238095238078E-2</v>
      </c>
      <c r="T55" s="136">
        <f>'OM Assumptions'!$H$25</f>
        <v>3.8095238095238078E-2</v>
      </c>
      <c r="U55" s="136">
        <f>'OM Assumptions'!$H$25</f>
        <v>3.8095238095238078E-2</v>
      </c>
      <c r="V55" s="136"/>
      <c r="W55" s="226" t="s">
        <v>598</v>
      </c>
      <c r="X55" s="136">
        <f>'OM Assumptions'!$H$26</f>
        <v>3.8095238095238078E-2</v>
      </c>
      <c r="Y55" s="136">
        <f>'OM Assumptions'!$H$26</f>
        <v>3.8095238095238078E-2</v>
      </c>
      <c r="Z55" s="136">
        <f>'OM Assumptions'!$H$26</f>
        <v>3.8095238095238078E-2</v>
      </c>
      <c r="AA55" s="136">
        <f>'OM Assumptions'!$H$26</f>
        <v>3.8095238095238078E-2</v>
      </c>
      <c r="AB55" s="136">
        <f>'OM Assumptions'!$H$26</f>
        <v>3.8095238095238078E-2</v>
      </c>
    </row>
    <row r="56" spans="2:28" x14ac:dyDescent="0.2">
      <c r="B56" s="1060" t="s">
        <v>599</v>
      </c>
      <c r="C56" s="117">
        <f>SQRT((2*C50*'OM Assumptions'!$C$37)/('OM Assumptions'!$C$36*C49))*(1+'OM Assumptions'!C$11)</f>
        <v>1197.7508374642516</v>
      </c>
      <c r="D56" s="117">
        <f>SQRT((2*D50*'OM Assumptions'!$C$37)/('OM Assumptions'!$C$36*D49))*(1+'OM Assumptions'!D$11)</f>
        <v>1675.2577360118114</v>
      </c>
      <c r="E56" s="117">
        <f>SQRT((2*E50*'OM Assumptions'!$C$37)/('OM Assumptions'!$C$36*E49))*(1+'OM Assumptions'!E$11)</f>
        <v>2719.0606273589638</v>
      </c>
      <c r="F56" s="117">
        <f>SQRT((2*F50*'OM Assumptions'!$C$37)/('OM Assumptions'!$C$36*F49))*(1+'OM Assumptions'!F$11)</f>
        <v>3561.8996347789061</v>
      </c>
      <c r="G56" s="117">
        <f>SQRT((2*G50*'OM Assumptions'!$C$37)/('OM Assumptions'!$C$36*G49))*(1+'OM Assumptions'!G$11)</f>
        <v>4201.9262056550597</v>
      </c>
      <c r="H56" s="117"/>
      <c r="I56" s="160" t="s">
        <v>599</v>
      </c>
      <c r="J56" s="117">
        <f>SQRT((2*J50*'OM Assumptions'!$C$37)/('OM Assumptions'!$C$36*J49))*(1+'OM Assumptions'!C$11)</f>
        <v>257.9175962337651</v>
      </c>
      <c r="K56" s="117">
        <f>SQRT((2*K50*'OM Assumptions'!$C$37)/('OM Assumptions'!$C$36*K49))*(1+'OM Assumptions'!D$11)</f>
        <v>360.74151219876046</v>
      </c>
      <c r="L56" s="117">
        <f>SQRT((2*L50*'OM Assumptions'!$C$37)/('OM Assumptions'!$C$36*L49))*(1+'OM Assumptions'!E$11)</f>
        <v>585.50873778306038</v>
      </c>
      <c r="M56" s="117">
        <f>SQRT((2*M50*'OM Assumptions'!$C$37)/('OM Assumptions'!$C$36*M49))*(1+'OM Assumptions'!F$11)</f>
        <v>767.00141890363773</v>
      </c>
      <c r="N56" s="117">
        <f>SQRT((2*N50*'OM Assumptions'!$C$37)/('OM Assumptions'!$C$36*N49))*(1+'OM Assumptions'!G$11)</f>
        <v>904.82149760681295</v>
      </c>
      <c r="O56" s="117"/>
      <c r="P56" s="160" t="s">
        <v>599</v>
      </c>
      <c r="Q56" s="117">
        <f>SQRT((2*Q50*'OM Assumptions'!C37)/('OM Assumptions'!C36*Q49))*(1+'OM Assumptions'!C$11)</f>
        <v>329.59986243943251</v>
      </c>
      <c r="R56" s="117">
        <f>SQRT((2*R50*'OM Assumptions'!D37)/('OM Assumptions'!D36*R49))*(1+'OM Assumptions'!D$11)</f>
        <v>461.00132186847105</v>
      </c>
      <c r="S56" s="117">
        <f>SQRT((2*S50*'OM Assumptions'!E37)/('OM Assumptions'!E36*S49))*(1+'OM Assumptions'!E$11)</f>
        <v>748.23743028168815</v>
      </c>
      <c r="T56" s="117">
        <f>SQRT((2*T50*'OM Assumptions'!F37)/('OM Assumptions'!F36*T49))*(1+'OM Assumptions'!F$11)</f>
        <v>980.17182950308882</v>
      </c>
      <c r="U56" s="117">
        <f>SQRT((2*U50*'OM Assumptions'!G37)/('OM Assumptions'!G36*U49))*(1+'OM Assumptions'!G$11)</f>
        <v>1156.2958305223394</v>
      </c>
      <c r="V56" s="117"/>
      <c r="W56" s="226" t="s">
        <v>599</v>
      </c>
      <c r="X56" s="117">
        <f>SQRT((2*X50*'OM Assumptions'!C37)/('OM Assumptions'!C36*X49))*(1+'OM Assumptions'!C$11)</f>
        <v>522.31732895544485</v>
      </c>
      <c r="Y56" s="117">
        <f>SQRT((2*Y50*'OM Assumptions'!D37)/('OM Assumptions'!D36*Y49))*(1+'OM Assumptions'!D$11)</f>
        <v>730.54939192371978</v>
      </c>
      <c r="Z56" s="117">
        <f>SQRT((2*Z50*'OM Assumptions'!E37)/('OM Assumptions'!E36*Z49))*(1+'OM Assumptions'!E$11)</f>
        <v>1185.7328249978689</v>
      </c>
      <c r="AA56" s="117">
        <f>SQRT((2*AA50*'OM Assumptions'!F37)/('OM Assumptions'!F36*AA49))*(1+'OM Assumptions'!F$11)</f>
        <v>1553.2795678805946</v>
      </c>
      <c r="AB56" s="117">
        <f>SQRT((2*AB50*'OM Assumptions'!G37)/('OM Assumptions'!G36*AB49))*(1+'OM Assumptions'!G$11)</f>
        <v>1832.3835004382893</v>
      </c>
    </row>
    <row r="57" spans="2:28" x14ac:dyDescent="0.2">
      <c r="B57" s="1060" t="s">
        <v>600</v>
      </c>
      <c r="C57" s="117">
        <f>C56/2</f>
        <v>598.87541873212581</v>
      </c>
      <c r="D57" s="117">
        <f>D56/2</f>
        <v>837.6288680059057</v>
      </c>
      <c r="E57" s="117">
        <f>E56/2</f>
        <v>1359.5303136794819</v>
      </c>
      <c r="F57" s="117">
        <f>F56/2</f>
        <v>1780.9498173894531</v>
      </c>
      <c r="G57" s="117">
        <f>G56/2</f>
        <v>2100.9631028275298</v>
      </c>
      <c r="H57" s="117"/>
      <c r="I57" s="160" t="s">
        <v>600</v>
      </c>
      <c r="J57" s="117">
        <f>J56/2</f>
        <v>128.95879811688255</v>
      </c>
      <c r="K57" s="117">
        <f>K56/2</f>
        <v>180.37075609938023</v>
      </c>
      <c r="L57" s="117">
        <f>L56/2</f>
        <v>292.75436889153019</v>
      </c>
      <c r="M57" s="117">
        <f>M56/2</f>
        <v>383.50070945181886</v>
      </c>
      <c r="N57" s="117">
        <f>N56/2</f>
        <v>452.41074880340648</v>
      </c>
      <c r="O57" s="117"/>
      <c r="P57" s="160" t="s">
        <v>600</v>
      </c>
      <c r="Q57" s="117">
        <f>Q56/2</f>
        <v>164.79993121971626</v>
      </c>
      <c r="R57" s="117">
        <f>R56/2</f>
        <v>230.50066093423553</v>
      </c>
      <c r="S57" s="117">
        <f>S56/2</f>
        <v>374.11871514084407</v>
      </c>
      <c r="T57" s="117">
        <f>T56/2</f>
        <v>490.08591475154441</v>
      </c>
      <c r="U57" s="117">
        <f>U56/2</f>
        <v>578.14791526116971</v>
      </c>
      <c r="V57" s="117"/>
      <c r="W57" s="226" t="s">
        <v>600</v>
      </c>
      <c r="X57" s="117">
        <f>X56/2</f>
        <v>261.15866447772243</v>
      </c>
      <c r="Y57" s="117">
        <f>Y56/2</f>
        <v>365.27469596185989</v>
      </c>
      <c r="Z57" s="117">
        <f>Z56/2</f>
        <v>592.86641249893444</v>
      </c>
      <c r="AA57" s="117">
        <f>AA56/2</f>
        <v>776.63978394029732</v>
      </c>
      <c r="AB57" s="117">
        <f>AB56/2</f>
        <v>916.19175021914464</v>
      </c>
    </row>
    <row r="58" spans="2:28" x14ac:dyDescent="0.2">
      <c r="B58" s="1060" t="s">
        <v>601</v>
      </c>
      <c r="C58" s="117">
        <f>'OM Assumptions'!C35*SQRT('OM Raw Materials Y1 - Y5'!C54*'OM Raw Materials Y1 - Y5'!C53^2+'OM Raw Materials Y1 - Y5'!C52^2*'OM Raw Materials Y1 - Y5'!C55^2)</f>
        <v>895.88876896240572</v>
      </c>
      <c r="D58" s="117">
        <f>'OM Assumptions'!D35*SQRT('OM Raw Materials Y1 - Y5'!D54*'OM Raw Materials Y1 - Y5'!D53^2+'OM Raw Materials Y1 - Y5'!D52^2*'OM Raw Materials Y1 - Y5'!D55^2)</f>
        <v>1755.2336541428097</v>
      </c>
      <c r="E58" s="117">
        <f>'OM Assumptions'!E35*SQRT('OM Raw Materials Y1 - Y5'!E54*'OM Raw Materials Y1 - Y5'!E53^2+'OM Raw Materials Y1 - Y5'!E52^2*'OM Raw Materials Y1 - Y5'!E55^2)</f>
        <v>4623.9108858236459</v>
      </c>
      <c r="F58" s="117">
        <f>'OM Assumptions'!F35*SQRT('OM Raw Materials Y1 - Y5'!F54*'OM Raw Materials Y1 - Y5'!F53^2+'OM Raw Materials Y1 - Y5'!F52^2*'OM Raw Materials Y1 - Y5'!F55^2)</f>
        <v>7934.7825412440243</v>
      </c>
      <c r="G58" s="117">
        <f>'OM Assumptions'!G35*SQRT('OM Raw Materials Y1 - Y5'!G54*'OM Raw Materials Y1 - Y5'!G53^2+'OM Raw Materials Y1 - Y5'!G52^2*'OM Raw Materials Y1 - Y5'!G55^2)</f>
        <v>11042.528153530129</v>
      </c>
      <c r="H58" s="117"/>
      <c r="I58" s="160" t="s">
        <v>601</v>
      </c>
      <c r="J58" s="136">
        <f>'OM Assumptions'!C35*SQRT('OM Raw Materials Y1 - Y5'!J54*'OM Raw Materials Y1 - Y5'!J53^2+'OM Raw Materials Y1 - Y5'!J52^2*'OM Raw Materials Y1 - Y5'!J55^2)</f>
        <v>6.1009786691903996E-2</v>
      </c>
      <c r="K58" s="136">
        <f>'OM Assumptions'!D35*SQRT('OM Raw Materials Y1 - Y5'!K54*'OM Raw Materials Y1 - Y5'!K53^2+'OM Raw Materials Y1 - Y5'!K52^2*'OM Raw Materials Y1 - Y5'!K55^2)</f>
        <v>0.11953094462578054</v>
      </c>
      <c r="L58" s="136">
        <f>'OM Assumptions'!E35*SQRT('OM Raw Materials Y1 - Y5'!L54*'OM Raw Materials Y1 - Y5'!L53^2+'OM Raw Materials Y1 - Y5'!L52^2*'OM Raw Materials Y1 - Y5'!L55^2)</f>
        <v>0.31488710049708352</v>
      </c>
      <c r="M58" s="136">
        <f>'OM Assumptions'!F35*SQRT('OM Raw Materials Y1 - Y5'!M54*'OM Raw Materials Y1 - Y5'!M53^2+'OM Raw Materials Y1 - Y5'!M52^2*'OM Raw Materials Y1 - Y5'!M55^2)</f>
        <v>0.54035657891839939</v>
      </c>
      <c r="N58" s="136">
        <f>'OM Assumptions'!G35*SQRT('OM Raw Materials Y1 - Y5'!N54*'OM Raw Materials Y1 - Y5'!N53^2+'OM Raw Materials Y1 - Y5'!N52^2*'OM Raw Materials Y1 - Y5'!N55^2)</f>
        <v>0.75199322787189504</v>
      </c>
      <c r="O58" s="136"/>
      <c r="P58" s="160" t="s">
        <v>601</v>
      </c>
      <c r="Q58" s="136">
        <f>'OM Assumptions'!C35*SQRT('OM Raw Materials Y1 - Y5'!Q54*'OM Raw Materials Y1 - Y5'!Q53^2+'OM Raw Materials Y1 - Y5'!Q52^2*'OM Raw Materials Y1 - Y5'!Q55^2)</f>
        <v>0.28878325711509845</v>
      </c>
      <c r="R58" s="136">
        <f>'OM Assumptions'!D35*SQRT('OM Raw Materials Y1 - Y5'!R54*'OM Raw Materials Y1 - Y5'!R53^2+'OM Raw Materials Y1 - Y5'!R52^2*'OM Raw Materials Y1 - Y5'!R55^2)</f>
        <v>0.56578685792484462</v>
      </c>
      <c r="S58" s="136">
        <f>'OM Assumptions'!E35*SQRT('OM Raw Materials Y1 - Y5'!S54*'OM Raw Materials Y1 - Y5'!S53^2+'OM Raw Materials Y1 - Y5'!S52^2*'OM Raw Materials Y1 - Y5'!S55^2)</f>
        <v>1.4904841900905064</v>
      </c>
      <c r="T58" s="136">
        <f>'OM Assumptions'!F35*SQRT('OM Raw Materials Y1 - Y5'!T54*'OM Raw Materials Y1 - Y5'!T53^2+'OM Raw Materials Y1 - Y5'!T52^2*'OM Raw Materials Y1 - Y5'!T55^2)</f>
        <v>2.5577196926068648</v>
      </c>
      <c r="U58" s="136">
        <f>'OM Assumptions'!G35*SQRT('OM Raw Materials Y1 - Y5'!U54*'OM Raw Materials Y1 - Y5'!U53^2+'OM Raw Materials Y1 - Y5'!U52^2*'OM Raw Materials Y1 - Y5'!U55^2)</f>
        <v>3.5594789860519174</v>
      </c>
      <c r="V58" s="136"/>
      <c r="W58" s="226" t="s">
        <v>601</v>
      </c>
      <c r="X58" s="136">
        <f>'OM Assumptions'!C35*SQRT('OM Raw Materials Y1 - Y5'!X54*'OM Raw Materials Y1 - Y5'!X53^2+'OM Raw Materials Y1 - Y5'!X52^2*'OM Raw Materials Y1 - Y5'!X55^2)</f>
        <v>18.482128455366301</v>
      </c>
      <c r="Y58" s="136">
        <f>'OM Assumptions'!D35*SQRT('OM Raw Materials Y1 - Y5'!Y54*'OM Raw Materials Y1 - Y5'!Y53^2+'OM Raw Materials Y1 - Y5'!Y52^2*'OM Raw Materials Y1 - Y5'!Y55^2)</f>
        <v>36.210358907190056</v>
      </c>
      <c r="Z58" s="136">
        <f>'OM Assumptions'!E35*SQRT('OM Raw Materials Y1 - Y5'!Z54*'OM Raw Materials Y1 - Y5'!Z53^2+'OM Raw Materials Y1 - Y5'!Z52^2*'OM Raw Materials Y1 - Y5'!Z55^2)</f>
        <v>95.390988165792407</v>
      </c>
      <c r="AA58" s="136">
        <f>'OM Assumptions'!F35*SQRT('OM Raw Materials Y1 - Y5'!AA54*'OM Raw Materials Y1 - Y5'!AA53^2+'OM Raw Materials Y1 - Y5'!AA52^2*'OM Raw Materials Y1 - Y5'!AA55^2)</f>
        <v>163.69406032683935</v>
      </c>
      <c r="AB58" s="136">
        <f>'OM Assumptions'!G35*SQRT('OM Raw Materials Y1 - Y5'!AB54*'OM Raw Materials Y1 - Y5'!AB53^2+'OM Raw Materials Y1 - Y5'!AB52^2*'OM Raw Materials Y1 - Y5'!AB55^2)</f>
        <v>227.80665510732271</v>
      </c>
    </row>
    <row r="59" spans="2:28" x14ac:dyDescent="0.2">
      <c r="B59" s="3" t="s">
        <v>602</v>
      </c>
      <c r="I59" s="3" t="s">
        <v>602</v>
      </c>
      <c r="P59" s="3" t="s">
        <v>602</v>
      </c>
      <c r="W59" s="3"/>
    </row>
    <row r="60" spans="2:28" x14ac:dyDescent="0.2">
      <c r="B60" s="227" t="s">
        <v>603</v>
      </c>
      <c r="C60" s="144">
        <f>SUM(C57:C59)</f>
        <v>1494.7641876945315</v>
      </c>
      <c r="D60" s="144">
        <f>SUM(D57:D59)</f>
        <v>2592.8625221487155</v>
      </c>
      <c r="E60" s="144">
        <f>SUM(E57:E59)</f>
        <v>5983.4411995031278</v>
      </c>
      <c r="F60" s="144">
        <f>SUM(F57:F59)</f>
        <v>9715.7323586334769</v>
      </c>
      <c r="G60" s="144">
        <f>SUM(G57:G59)</f>
        <v>13143.491256357658</v>
      </c>
      <c r="H60" s="144"/>
      <c r="I60" s="227"/>
      <c r="J60" s="144">
        <f>SUM(J57:J59)</f>
        <v>129.01980790357445</v>
      </c>
      <c r="K60" s="144">
        <f>SUM(K57:K59)</f>
        <v>180.49028704400601</v>
      </c>
      <c r="L60" s="144">
        <f>SUM(L57:L59)</f>
        <v>293.06925599202725</v>
      </c>
      <c r="M60" s="144">
        <f>SUM(M57:M59)</f>
        <v>384.04106603073728</v>
      </c>
      <c r="N60" s="144">
        <f>SUM(N57:N59)</f>
        <v>453.16274203127836</v>
      </c>
      <c r="O60" s="144"/>
      <c r="P60" s="227"/>
      <c r="Q60" s="144">
        <f>SUM(Q57:Q59)</f>
        <v>165.08871447683134</v>
      </c>
      <c r="R60" s="144">
        <f>SUM(R57:R59)</f>
        <v>231.06644779216037</v>
      </c>
      <c r="S60" s="144">
        <f>SUM(S57:S59)</f>
        <v>375.60919933093459</v>
      </c>
      <c r="T60" s="144">
        <f>SUM(T57:T59)</f>
        <v>492.64363444415125</v>
      </c>
      <c r="U60" s="144">
        <f>SUM(U57:U59)</f>
        <v>581.7073942472216</v>
      </c>
      <c r="V60" s="144"/>
      <c r="W60" s="227"/>
      <c r="X60" s="144">
        <f>SUM(X57:X59)</f>
        <v>279.64079293308873</v>
      </c>
      <c r="Y60" s="144">
        <f>SUM(Y57:Y59)</f>
        <v>401.48505486904992</v>
      </c>
      <c r="Z60" s="144">
        <f>SUM(Z57:Z59)</f>
        <v>688.2574006647269</v>
      </c>
      <c r="AA60" s="144">
        <f>SUM(AA57:AA59)</f>
        <v>940.33384426713667</v>
      </c>
      <c r="AB60" s="144">
        <f>SUM(AB57:AB59)</f>
        <v>1143.9984053264673</v>
      </c>
    </row>
    <row r="61" spans="2:28" x14ac:dyDescent="0.2">
      <c r="B61" s="3"/>
      <c r="I61" s="3"/>
      <c r="P61" s="3"/>
      <c r="W61" s="3"/>
    </row>
    <row r="62" spans="2:28" x14ac:dyDescent="0.2">
      <c r="B62" s="142" t="s">
        <v>604</v>
      </c>
      <c r="C62" s="59">
        <f>(C56*C49)/2</f>
        <v>1666.1600484747462</v>
      </c>
      <c r="D62" s="59">
        <f>(D56*D49)/2</f>
        <v>2330.4074798648944</v>
      </c>
      <c r="E62" s="59">
        <f>(E56*E49)/2</f>
        <v>3782.4145431427428</v>
      </c>
      <c r="F62" s="59">
        <f>(F56*F49)/2</f>
        <v>4954.8659725504322</v>
      </c>
      <c r="G62" s="59">
        <f>(G56*G49)/2</f>
        <v>5845.1902946054061</v>
      </c>
      <c r="H62" s="59"/>
      <c r="J62" s="86">
        <f>(J56*J49)/2</f>
        <v>2.0440382169679858</v>
      </c>
      <c r="K62" s="59">
        <f>(K56*K49)/2</f>
        <v>2.8589342028171285</v>
      </c>
      <c r="L62" s="59">
        <f>(L56*L49)/2</f>
        <v>4.6402504283287991</v>
      </c>
      <c r="M62" s="59">
        <f>(M56*M49)/2</f>
        <v>6.0786089650383541</v>
      </c>
      <c r="N62" s="59">
        <f>(N56*N49)/2</f>
        <v>7.17085513997361</v>
      </c>
      <c r="O62" s="59"/>
      <c r="Q62" s="59">
        <f>(Q56*Q49)/2</f>
        <v>3.7842184206327345</v>
      </c>
      <c r="R62" s="59">
        <f>(R56*R49)/2</f>
        <v>5.2928714267023835</v>
      </c>
      <c r="S62" s="59">
        <f>(S56*S49)/2</f>
        <v>8.5907009964216314</v>
      </c>
      <c r="T62" s="59">
        <f>(T56*T49)/2</f>
        <v>11.253597817482339</v>
      </c>
      <c r="U62" s="59">
        <f>(U56*U49)/2</f>
        <v>13.27572150418461</v>
      </c>
      <c r="V62" s="59"/>
      <c r="X62" s="59">
        <f>(X56*X49)/2</f>
        <v>152.83005045236317</v>
      </c>
      <c r="Y62" s="59">
        <f>(Y56*Y49)/2</f>
        <v>213.75875207688043</v>
      </c>
      <c r="Z62" s="59">
        <f>(Z56*Z49)/2</f>
        <v>346.94542459437645</v>
      </c>
      <c r="AA62" s="59">
        <f>(AA56*AA49)/2</f>
        <v>454.48960156186206</v>
      </c>
      <c r="AB62" s="59">
        <f>(AB56*AB49)/2</f>
        <v>536.15541222824345</v>
      </c>
    </row>
    <row r="63" spans="2:28" x14ac:dyDescent="0.2">
      <c r="B63" s="3" t="s">
        <v>605</v>
      </c>
      <c r="C63" s="59">
        <f>C58*(C49)</f>
        <v>2492.4951467912192</v>
      </c>
      <c r="D63" s="59">
        <f>D58*(D49)</f>
        <v>4883.3198004061096</v>
      </c>
      <c r="E63" s="59">
        <f>E58*(E49)</f>
        <v>12864.404423172484</v>
      </c>
      <c r="F63" s="59">
        <f>F58*(F49)</f>
        <v>22075.73937755698</v>
      </c>
      <c r="G63" s="59">
        <f>G58*(G49)</f>
        <v>30721.94761728754</v>
      </c>
      <c r="H63" s="59"/>
      <c r="I63" s="141"/>
      <c r="J63" s="59">
        <f>J58*(J49)</f>
        <v>9.670246421984198E-4</v>
      </c>
      <c r="K63" s="59">
        <f>K58*(K49)</f>
        <v>1.8946037222209019E-3</v>
      </c>
      <c r="L63" s="59">
        <f>L58*(L49)</f>
        <v>4.9910613067509334E-3</v>
      </c>
      <c r="M63" s="59">
        <f>M58*(M49)</f>
        <v>8.5648246899618849E-3</v>
      </c>
      <c r="N63" s="59">
        <f>N58*(N49)</f>
        <v>1.1919333299602456E-2</v>
      </c>
      <c r="O63" s="59"/>
      <c r="P63" s="141"/>
      <c r="Q63" s="59">
        <f>Q58*(Q49)</f>
        <v>6.6311855415054485E-3</v>
      </c>
      <c r="R63" s="59">
        <f>R58*(R49)</f>
        <v>1.2991880725099245E-2</v>
      </c>
      <c r="S63" s="59">
        <f>S58*(S49)</f>
        <v>3.4225243214953252E-2</v>
      </c>
      <c r="T63" s="59">
        <f>T58*(T49)</f>
        <v>5.8731638441485136E-2</v>
      </c>
      <c r="U63" s="59">
        <f>U58*(U49)</f>
        <v>8.1734536217217157E-2</v>
      </c>
      <c r="V63" s="59"/>
      <c r="W63" s="141"/>
      <c r="X63" s="59">
        <f>X58*(X49)</f>
        <v>10.815741572080361</v>
      </c>
      <c r="Y63" s="59">
        <f>Y58*(Y49)</f>
        <v>21.190302032487622</v>
      </c>
      <c r="Z63" s="59">
        <f>Z58*(Z49)</f>
        <v>55.822806274621719</v>
      </c>
      <c r="AA63" s="59">
        <f>AA58*(AA49)</f>
        <v>95.793764103266398</v>
      </c>
      <c r="AB63" s="59">
        <f>AB58*(AB49)</f>
        <v>133.31245456880526</v>
      </c>
    </row>
    <row r="64" spans="2:28" x14ac:dyDescent="0.2">
      <c r="B64" s="3" t="s">
        <v>607</v>
      </c>
      <c r="C64" s="59">
        <f>SUM(C62:C63)</f>
        <v>4158.6551952659656</v>
      </c>
      <c r="D64" s="59">
        <f t="shared" ref="D64:AB64" si="3">SUM(D62:D63)</f>
        <v>7213.727280271004</v>
      </c>
      <c r="E64" s="59">
        <f t="shared" si="3"/>
        <v>16646.818966315226</v>
      </c>
      <c r="F64" s="59">
        <f t="shared" si="3"/>
        <v>27030.605350107413</v>
      </c>
      <c r="G64" s="59">
        <f t="shared" si="3"/>
        <v>36567.137911892947</v>
      </c>
      <c r="H64" s="59"/>
      <c r="I64" s="59"/>
      <c r="J64" s="59">
        <f t="shared" si="3"/>
        <v>2.045005241610184</v>
      </c>
      <c r="K64" s="59">
        <f t="shared" si="3"/>
        <v>2.8608288065393492</v>
      </c>
      <c r="L64" s="59">
        <f t="shared" si="3"/>
        <v>4.6452414896355503</v>
      </c>
      <c r="M64" s="59">
        <f t="shared" si="3"/>
        <v>6.0871737897283156</v>
      </c>
      <c r="N64" s="59">
        <f t="shared" si="3"/>
        <v>7.1827744732732128</v>
      </c>
      <c r="O64" s="59"/>
      <c r="P64" s="59"/>
      <c r="Q64" s="59">
        <f t="shared" si="3"/>
        <v>3.7908496061742398</v>
      </c>
      <c r="R64" s="59">
        <f t="shared" si="3"/>
        <v>5.305863307427483</v>
      </c>
      <c r="S64" s="59">
        <f t="shared" si="3"/>
        <v>8.6249262396365847</v>
      </c>
      <c r="T64" s="59">
        <f t="shared" si="3"/>
        <v>11.312329455923823</v>
      </c>
      <c r="U64" s="59">
        <f t="shared" si="3"/>
        <v>13.357456040401827</v>
      </c>
      <c r="V64" s="59"/>
      <c r="W64" s="59"/>
      <c r="X64" s="59">
        <f t="shared" si="3"/>
        <v>163.64579202444352</v>
      </c>
      <c r="Y64" s="59">
        <f t="shared" si="3"/>
        <v>234.94905410936803</v>
      </c>
      <c r="Z64" s="59">
        <f t="shared" si="3"/>
        <v>402.76823086899816</v>
      </c>
      <c r="AA64" s="59">
        <f t="shared" si="3"/>
        <v>550.28336566512849</v>
      </c>
      <c r="AB64" s="59">
        <f t="shared" si="3"/>
        <v>669.46786679704871</v>
      </c>
    </row>
    <row r="65" spans="2:29" x14ac:dyDescent="0.2">
      <c r="B65" s="3"/>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row>
    <row r="66" spans="2:29" x14ac:dyDescent="0.2">
      <c r="B66" s="228" t="s">
        <v>609</v>
      </c>
      <c r="C66" s="229">
        <v>1</v>
      </c>
      <c r="D66" s="229">
        <v>2</v>
      </c>
      <c r="E66" s="229">
        <v>3</v>
      </c>
      <c r="F66" s="229">
        <v>4</v>
      </c>
      <c r="G66" s="229">
        <v>5</v>
      </c>
      <c r="H66" s="1005"/>
      <c r="I66" s="228" t="s">
        <v>332</v>
      </c>
      <c r="J66" s="229">
        <v>1</v>
      </c>
      <c r="K66" s="229">
        <v>2</v>
      </c>
      <c r="L66" s="229">
        <v>3</v>
      </c>
      <c r="M66" s="229">
        <v>4</v>
      </c>
      <c r="N66" s="229">
        <v>5</v>
      </c>
      <c r="O66" s="1005"/>
      <c r="P66" s="228" t="s">
        <v>333</v>
      </c>
      <c r="Q66" s="229">
        <v>1</v>
      </c>
      <c r="R66" s="229">
        <v>2</v>
      </c>
      <c r="S66" s="229">
        <v>3</v>
      </c>
      <c r="T66" s="229">
        <v>4</v>
      </c>
      <c r="U66" s="229">
        <v>5</v>
      </c>
      <c r="V66" s="1005"/>
      <c r="W66" s="228" t="s">
        <v>334</v>
      </c>
      <c r="X66" s="229">
        <v>1</v>
      </c>
      <c r="Y66" s="229">
        <v>2</v>
      </c>
      <c r="Z66" s="229">
        <v>3</v>
      </c>
      <c r="AA66" s="229">
        <v>4</v>
      </c>
      <c r="AB66" s="229">
        <v>5</v>
      </c>
    </row>
    <row r="67" spans="2:29" x14ac:dyDescent="0.2">
      <c r="B67" s="3" t="s">
        <v>587</v>
      </c>
      <c r="C67" s="147">
        <f>'OM $ Raw Material '!$L$25</f>
        <v>1.2933E-3</v>
      </c>
      <c r="D67" s="147">
        <f>'OM $ Raw Material '!$L$25</f>
        <v>1.2933E-3</v>
      </c>
      <c r="E67" s="147">
        <f>'OM $ Raw Material '!$L$25</f>
        <v>1.2933E-3</v>
      </c>
      <c r="F67" s="147">
        <f>'OM $ Raw Material '!$L$25</f>
        <v>1.2933E-3</v>
      </c>
      <c r="G67" s="147">
        <f>'OM $ Raw Material '!$L$25</f>
        <v>1.2933E-3</v>
      </c>
      <c r="H67" s="147"/>
      <c r="I67" s="3" t="s">
        <v>587</v>
      </c>
      <c r="J67">
        <f>'OM $ Raw Material '!$L$13</f>
        <v>1</v>
      </c>
      <c r="K67">
        <f>'OM $ Raw Material '!$L$13</f>
        <v>1</v>
      </c>
      <c r="L67">
        <f>'OM $ Raw Material '!$L$13</f>
        <v>1</v>
      </c>
      <c r="M67">
        <f>'OM $ Raw Material '!$L$13</f>
        <v>1</v>
      </c>
      <c r="N67">
        <f>'OM $ Raw Material '!$L$13</f>
        <v>1</v>
      </c>
      <c r="P67" s="3" t="s">
        <v>587</v>
      </c>
      <c r="Q67">
        <f>'OM $ Raw Material '!$L$14</f>
        <v>1</v>
      </c>
      <c r="R67">
        <f>'OM $ Raw Material '!$L$14</f>
        <v>1</v>
      </c>
      <c r="S67">
        <f>'OM $ Raw Material '!$L$14</f>
        <v>1</v>
      </c>
      <c r="T67">
        <f>'OM $ Raw Material '!$L$14</f>
        <v>1</v>
      </c>
      <c r="U67">
        <f>'OM $ Raw Material '!$L$14</f>
        <v>1</v>
      </c>
      <c r="W67" s="142" t="s">
        <v>587</v>
      </c>
      <c r="X67">
        <f>'OM $ Raw Material '!$L$15</f>
        <v>1</v>
      </c>
      <c r="Y67">
        <f>'OM $ Raw Material '!$L$15</f>
        <v>1</v>
      </c>
      <c r="Z67">
        <f>'OM $ Raw Material '!$L$15</f>
        <v>1</v>
      </c>
      <c r="AA67">
        <f>'OM $ Raw Material '!$L$15</f>
        <v>1</v>
      </c>
      <c r="AB67">
        <f>'OM $ Raw Material '!$L$15</f>
        <v>1</v>
      </c>
    </row>
    <row r="68" spans="2:29" x14ac:dyDescent="0.2">
      <c r="B68" s="160" t="s">
        <v>588</v>
      </c>
      <c r="C68" s="86">
        <f>'OM $ Raw Material '!$F$25</f>
        <v>3.9898305000000004E-3</v>
      </c>
      <c r="D68" s="86">
        <f>'OM $ Raw Material '!$F$25</f>
        <v>3.9898305000000004E-3</v>
      </c>
      <c r="E68" s="86">
        <f>'OM $ Raw Material '!$F$25</f>
        <v>3.9898305000000004E-3</v>
      </c>
      <c r="F68" s="86">
        <f>'OM $ Raw Material '!$F$25</f>
        <v>3.9898305000000004E-3</v>
      </c>
      <c r="G68" s="86">
        <f>'OM $ Raw Material '!$F$25</f>
        <v>3.9898305000000004E-3</v>
      </c>
      <c r="H68" s="86"/>
      <c r="I68" s="1060" t="s">
        <v>588</v>
      </c>
      <c r="J68" s="86">
        <f>'OM $ Raw Material '!$F$13</f>
        <v>0.76</v>
      </c>
      <c r="K68" s="86">
        <f>'OM $ Raw Material '!$F$13</f>
        <v>0.76</v>
      </c>
      <c r="L68" s="86">
        <f>'OM $ Raw Material '!$F$13</f>
        <v>0.76</v>
      </c>
      <c r="M68" s="86">
        <f>'OM $ Raw Material '!$F$13</f>
        <v>0.76</v>
      </c>
      <c r="N68" s="86">
        <f>'OM $ Raw Material '!$F$13</f>
        <v>0.76</v>
      </c>
      <c r="O68" s="86"/>
      <c r="P68" s="160" t="s">
        <v>588</v>
      </c>
      <c r="Q68" s="136">
        <f>'OM $ Raw Material '!$F$14</f>
        <v>1.6659999999999999</v>
      </c>
      <c r="R68" s="136">
        <f>'OM $ Raw Material '!$F$14</f>
        <v>1.6659999999999999</v>
      </c>
      <c r="S68" s="136">
        <f>'OM $ Raw Material '!$F$14</f>
        <v>1.6659999999999999</v>
      </c>
      <c r="T68" s="136">
        <f>'OM $ Raw Material '!$F$14</f>
        <v>1.6659999999999999</v>
      </c>
      <c r="U68" s="136">
        <f>'OM $ Raw Material '!$F$14</f>
        <v>1.6659999999999999</v>
      </c>
      <c r="V68" s="136"/>
      <c r="W68" s="226" t="s">
        <v>588</v>
      </c>
      <c r="X68" s="136">
        <f>'OM $ Raw Material '!$F$15</f>
        <v>0.13285</v>
      </c>
      <c r="Y68" s="136">
        <f>'OM $ Raw Material '!$F$15</f>
        <v>0.13285</v>
      </c>
      <c r="Z68" s="136">
        <f>'OM $ Raw Material '!$F$15</f>
        <v>0.13285</v>
      </c>
      <c r="AA68" s="136">
        <f>'OM $ Raw Material '!$F$15</f>
        <v>0.13285</v>
      </c>
      <c r="AB68" s="136">
        <f>'OM $ Raw Material '!$F$15</f>
        <v>0.13285</v>
      </c>
    </row>
    <row r="69" spans="2:29" x14ac:dyDescent="0.2">
      <c r="B69" s="160" t="s">
        <v>591</v>
      </c>
      <c r="C69" s="117">
        <f>C67*'OM Assumptions'!C53</f>
        <v>19.289680687875002</v>
      </c>
      <c r="D69" s="117">
        <f>D67*'OM Assumptions'!D53</f>
        <v>37.792522793024993</v>
      </c>
      <c r="E69" s="117">
        <f>E67*'OM Assumptions'!E53</f>
        <v>99.558971612100009</v>
      </c>
      <c r="F69" s="117">
        <f>F67*'OM Assumptions'!F53</f>
        <v>170.84645644748051</v>
      </c>
      <c r="G69" s="117">
        <f>G67*'OM Assumptions'!G53</f>
        <v>237.760366518675</v>
      </c>
      <c r="H69" s="117"/>
      <c r="I69" s="1060" t="s">
        <v>591</v>
      </c>
      <c r="J69" s="117">
        <f>J67*'OM Assumptions'!C53</f>
        <v>14915.085972222223</v>
      </c>
      <c r="K69" s="117">
        <f>K67*'OM Assumptions'!D53</f>
        <v>29221.775916666662</v>
      </c>
      <c r="L69" s="117">
        <f>L67*'OM Assumptions'!E53</f>
        <v>76980.570333333337</v>
      </c>
      <c r="M69" s="117">
        <f>M67*'OM Assumptions'!F53</f>
        <v>132101.18027331671</v>
      </c>
      <c r="N69" s="117">
        <f>N67*'OM Assumptions'!G53</f>
        <v>183840.07308333332</v>
      </c>
      <c r="O69" s="117"/>
      <c r="P69" s="160" t="s">
        <v>591</v>
      </c>
      <c r="Q69" s="117">
        <f>Q67*'OM Assumptions'!C53</f>
        <v>14915.085972222223</v>
      </c>
      <c r="R69" s="117">
        <f>R67*'OM Assumptions'!D53</f>
        <v>29221.775916666662</v>
      </c>
      <c r="S69" s="117">
        <f>S67*'OM Assumptions'!E53</f>
        <v>76980.570333333337</v>
      </c>
      <c r="T69" s="117">
        <f>T67*'OM Assumptions'!F53</f>
        <v>132101.18027331671</v>
      </c>
      <c r="U69" s="117">
        <f>U67*'OM Assumptions'!G53</f>
        <v>183840.07308333332</v>
      </c>
      <c r="V69" s="117"/>
      <c r="W69" s="226" t="s">
        <v>591</v>
      </c>
      <c r="X69" s="117">
        <f>X67*'OM Assumptions'!C53</f>
        <v>14915.085972222223</v>
      </c>
      <c r="Y69" s="117">
        <f>Y67*'OM Assumptions'!D53</f>
        <v>29221.775916666662</v>
      </c>
      <c r="Z69" s="117">
        <f>Z67*'OM Assumptions'!E53</f>
        <v>76980.570333333337</v>
      </c>
      <c r="AA69" s="117">
        <f>AA67*'OM Assumptions'!F53</f>
        <v>132101.18027331671</v>
      </c>
      <c r="AB69" s="117">
        <f>AB67*'OM Assumptions'!G53</f>
        <v>183840.07308333332</v>
      </c>
    </row>
    <row r="70" spans="2:29" x14ac:dyDescent="0.2">
      <c r="B70" s="160" t="s">
        <v>594</v>
      </c>
      <c r="C70" s="128">
        <f>'OM Assumptions'!C55*'OM Raw Materials Y1 - Y5'!C67</f>
        <v>0.37095539784375003</v>
      </c>
      <c r="D70" s="128">
        <f>'OM Assumptions'!D55*'OM Raw Materials Y1 - Y5'!D67</f>
        <v>0.72677928448124995</v>
      </c>
      <c r="E70" s="128">
        <f>'OM Assumptions'!E55*'OM Raw Materials Y1 - Y5'!E67</f>
        <v>1.9145956079250002</v>
      </c>
      <c r="F70" s="128">
        <f>'OM Assumptions'!F55*'OM Raw Materials Y1 - Y5'!F67</f>
        <v>3.2855087778361636</v>
      </c>
      <c r="G70" s="128">
        <f>'OM Assumptions'!G55*'OM Raw Materials Y1 - Y5'!G67</f>
        <v>4.5723147407437494</v>
      </c>
      <c r="H70" s="128"/>
      <c r="I70" s="1060" t="s">
        <v>594</v>
      </c>
      <c r="J70" s="117">
        <f>'OM Assumptions'!C55*'OM Raw Materials Y1 - Y5'!J67</f>
        <v>286.82857638888891</v>
      </c>
      <c r="K70" s="117">
        <f>'OM Assumptions'!D55*'OM Raw Materials Y1 - Y5'!K67</f>
        <v>561.95722916666659</v>
      </c>
      <c r="L70" s="117">
        <f>'OM Assumptions'!E55*'OM Raw Materials Y1 - Y5'!L67</f>
        <v>1480.3955833333334</v>
      </c>
      <c r="M70" s="117">
        <f>'OM Assumptions'!F55*'OM Raw Materials Y1 - Y5'!M67</f>
        <v>2540.4073129483982</v>
      </c>
      <c r="N70" s="117">
        <f>'OM Assumptions'!G55*'OM Raw Materials Y1 - Y5'!N67</f>
        <v>3535.3860208333331</v>
      </c>
      <c r="O70" s="117"/>
      <c r="P70" s="160" t="s">
        <v>594</v>
      </c>
      <c r="Q70" s="117">
        <f>'OM Assumptions'!C55*'OM Raw Materials Y1 - Y5'!Q67</f>
        <v>286.82857638888891</v>
      </c>
      <c r="R70" s="117">
        <f>'OM Assumptions'!D55*'OM Raw Materials Y1 - Y5'!R67</f>
        <v>561.95722916666659</v>
      </c>
      <c r="S70" s="117">
        <f>'OM Assumptions'!E55*'OM Raw Materials Y1 - Y5'!S67</f>
        <v>1480.3955833333334</v>
      </c>
      <c r="T70" s="117">
        <f>'OM Assumptions'!F55*'OM Raw Materials Y1 - Y5'!T67</f>
        <v>2540.4073129483982</v>
      </c>
      <c r="U70" s="117">
        <f>'OM Assumptions'!G55*'OM Raw Materials Y1 - Y5'!U67</f>
        <v>3535.3860208333331</v>
      </c>
      <c r="V70" s="117"/>
      <c r="W70" s="160" t="s">
        <v>594</v>
      </c>
      <c r="X70" s="117">
        <f>X67*'OM Assumptions'!C55</f>
        <v>286.82857638888891</v>
      </c>
      <c r="Y70" s="117">
        <f>Y67*'OM Assumptions'!D55</f>
        <v>561.95722916666659</v>
      </c>
      <c r="Z70" s="117">
        <f>Z67*'OM Assumptions'!E55</f>
        <v>1480.3955833333334</v>
      </c>
      <c r="AA70" s="117">
        <f>AA67*'OM Assumptions'!F55</f>
        <v>2540.4073129483982</v>
      </c>
      <c r="AB70" s="117">
        <f>AB67*'OM Assumptions'!G55</f>
        <v>3535.3860208333331</v>
      </c>
    </row>
    <row r="71" spans="2:29" x14ac:dyDescent="0.2">
      <c r="B71" s="160" t="s">
        <v>595</v>
      </c>
      <c r="C71" s="141">
        <f>C67*'OM Assumptions'!C56</f>
        <v>0.61730709592420829</v>
      </c>
      <c r="D71" s="141">
        <f>D67*'OM Assumptions'!D56</f>
        <v>1.2094338351425429</v>
      </c>
      <c r="E71" s="141">
        <f>E67*'OM Assumptions'!E56</f>
        <v>3.1860796782238783</v>
      </c>
      <c r="F71" s="141">
        <f>F67*'OM Assumptions'!F56</f>
        <v>5.4674170912962987</v>
      </c>
      <c r="G71" s="141">
        <f>G67*'OM Assumptions'!G56</f>
        <v>7.6087916516821972</v>
      </c>
      <c r="H71" s="141"/>
      <c r="I71" s="1060" t="s">
        <v>595</v>
      </c>
      <c r="J71" s="141">
        <f>J67*'OM Assumptions'!C56</f>
        <v>477.31160281775942</v>
      </c>
      <c r="K71" s="141">
        <f>K67*'OM Assumptions'!D56</f>
        <v>935.15335586680806</v>
      </c>
      <c r="L71" s="141">
        <f>L67*'OM Assumptions'!E56</f>
        <v>2463.5271616978875</v>
      </c>
      <c r="M71" s="141">
        <f>M67*'OM Assumptions'!F56</f>
        <v>4227.4933049534511</v>
      </c>
      <c r="N71" s="141">
        <f>N67*'OM Assumptions'!G56</f>
        <v>5883.237958464546</v>
      </c>
      <c r="O71" s="141"/>
      <c r="P71" s="160" t="s">
        <v>595</v>
      </c>
      <c r="Q71" s="141">
        <f>Q67*'OM Assumptions'!C56</f>
        <v>477.31160281775942</v>
      </c>
      <c r="R71" s="141">
        <f>R67*'OM Assumptions'!D56</f>
        <v>935.15335586680806</v>
      </c>
      <c r="S71" s="141">
        <f>S67*'OM Assumptions'!E56</f>
        <v>2463.5271616978875</v>
      </c>
      <c r="T71" s="141">
        <f>T67*'OM Assumptions'!F56</f>
        <v>4227.4933049534511</v>
      </c>
      <c r="U71" s="141">
        <f>U67*'OM Assumptions'!G56</f>
        <v>5883.237958464546</v>
      </c>
      <c r="V71" s="141"/>
      <c r="W71" s="160" t="s">
        <v>595</v>
      </c>
      <c r="X71" s="141">
        <f>X67*'OM Assumptions'!C56</f>
        <v>477.31160281775942</v>
      </c>
      <c r="Y71" s="141">
        <f>Y67*'OM Assumptions'!D56</f>
        <v>935.15335586680806</v>
      </c>
      <c r="Z71" s="141">
        <f>Z67*'OM Assumptions'!E56</f>
        <v>2463.5271616978875</v>
      </c>
      <c r="AA71" s="141">
        <f>AA67*'OM Assumptions'!F56</f>
        <v>4227.4933049534511</v>
      </c>
      <c r="AB71" s="141">
        <f>AB67*'OM Assumptions'!G56</f>
        <v>5883.237958464546</v>
      </c>
    </row>
    <row r="72" spans="2:29" x14ac:dyDescent="0.2">
      <c r="B72" s="160" t="s">
        <v>593</v>
      </c>
      <c r="C72" s="117">
        <f>C67*'OM Assumptions'!C$54</f>
        <v>4.4514647741250002</v>
      </c>
      <c r="D72" s="117">
        <f>D67*'OM Assumptions'!D$54</f>
        <v>8.7213514137749986</v>
      </c>
      <c r="E72" s="117">
        <f>E67*'OM Assumptions'!E$54</f>
        <v>22.975147295100001</v>
      </c>
      <c r="F72" s="117">
        <f>F67*'OM Assumptions'!F$54</f>
        <v>39.426105334033963</v>
      </c>
      <c r="G72" s="117">
        <f>G67*'OM Assumptions'!G$54</f>
        <v>54.867776888924993</v>
      </c>
      <c r="H72" s="117"/>
      <c r="I72" s="1060" t="s">
        <v>593</v>
      </c>
      <c r="J72" s="117">
        <f>J67*'OM Assumptions'!C$54</f>
        <v>3441.9429166666669</v>
      </c>
      <c r="K72" s="117">
        <f>K67*'OM Assumptions'!D$54</f>
        <v>6743.4867499999991</v>
      </c>
      <c r="L72" s="117">
        <f>L67*'OM Assumptions'!E$54</f>
        <v>17764.746999999999</v>
      </c>
      <c r="M72" s="117">
        <f>M67*'OM Assumptions'!F$54</f>
        <v>30484.88775538078</v>
      </c>
      <c r="N72" s="117">
        <f>N67*'OM Assumptions'!G$54</f>
        <v>42424.632249999995</v>
      </c>
      <c r="O72" s="117"/>
      <c r="P72" s="160" t="s">
        <v>593</v>
      </c>
      <c r="Q72" s="117">
        <f>Q67*'OM Assumptions'!C$54</f>
        <v>3441.9429166666669</v>
      </c>
      <c r="R72" s="117">
        <f>R67*'OM Assumptions'!D$54</f>
        <v>6743.4867499999991</v>
      </c>
      <c r="S72" s="117">
        <f>S67*'OM Assumptions'!E$54</f>
        <v>17764.746999999999</v>
      </c>
      <c r="T72" s="117">
        <f>T67*'OM Assumptions'!F$54</f>
        <v>30484.88775538078</v>
      </c>
      <c r="U72" s="117">
        <f>U67*'OM Assumptions'!G$54</f>
        <v>42424.632249999995</v>
      </c>
      <c r="V72" s="117"/>
      <c r="W72" s="226" t="s">
        <v>593</v>
      </c>
      <c r="X72" s="117">
        <f>X67*'OM Assumptions'!C$54</f>
        <v>3441.9429166666669</v>
      </c>
      <c r="Y72" s="117">
        <f>Y67*'OM Assumptions'!D$54</f>
        <v>6743.4867499999991</v>
      </c>
      <c r="Z72" s="117">
        <f>Z67*'OM Assumptions'!E$54</f>
        <v>17764.746999999999</v>
      </c>
      <c r="AA72" s="117">
        <f>AA67*'OM Assumptions'!F$54</f>
        <v>30484.88775538078</v>
      </c>
      <c r="AB72" s="117">
        <f>AB67*'OM Assumptions'!G$54</f>
        <v>42424.632249999995</v>
      </c>
    </row>
    <row r="73" spans="2:29" x14ac:dyDescent="0.2">
      <c r="B73" s="160" t="s">
        <v>597</v>
      </c>
      <c r="C73" s="11">
        <f>'OM Assumptions'!$G$27</f>
        <v>0.5714285714285714</v>
      </c>
      <c r="D73" s="11">
        <f>'OM Assumptions'!$G$27</f>
        <v>0.5714285714285714</v>
      </c>
      <c r="E73" s="11">
        <f>'OM Assumptions'!$G$27</f>
        <v>0.5714285714285714</v>
      </c>
      <c r="F73" s="11">
        <f>'OM Assumptions'!$G$27</f>
        <v>0.5714285714285714</v>
      </c>
      <c r="G73" s="11">
        <f>'OM Assumptions'!$G$27</f>
        <v>0.5714285714285714</v>
      </c>
      <c r="H73" s="11"/>
      <c r="I73" s="1060" t="s">
        <v>597</v>
      </c>
      <c r="J73" s="11">
        <f>'OM Assumptions'!$G$28</f>
        <v>1.4285714285714286</v>
      </c>
      <c r="K73" s="11">
        <f>'OM Assumptions'!$G$28</f>
        <v>1.4285714285714286</v>
      </c>
      <c r="L73" s="11">
        <f>'OM Assumptions'!$G$28</f>
        <v>1.4285714285714286</v>
      </c>
      <c r="M73" s="11">
        <f>'OM Assumptions'!$G$28</f>
        <v>1.4285714285714286</v>
      </c>
      <c r="N73" s="11">
        <f>'OM Assumptions'!$G$28</f>
        <v>1.4285714285714286</v>
      </c>
      <c r="O73" s="11"/>
      <c r="P73" s="231" t="s">
        <v>597</v>
      </c>
      <c r="Q73" s="11">
        <f>'OM Assumptions'!$G$29</f>
        <v>0.14285714285714285</v>
      </c>
      <c r="R73" s="11">
        <f>'OM Assumptions'!$G$29</f>
        <v>0.14285714285714285</v>
      </c>
      <c r="S73" s="11">
        <f>'OM Assumptions'!$G$29</f>
        <v>0.14285714285714285</v>
      </c>
      <c r="T73" s="11">
        <f>'OM Assumptions'!$G$29</f>
        <v>0.14285714285714285</v>
      </c>
      <c r="U73" s="11">
        <f>'OM Assumptions'!$G$29</f>
        <v>0.14285714285714285</v>
      </c>
      <c r="V73" s="11"/>
      <c r="W73" s="231" t="s">
        <v>597</v>
      </c>
      <c r="X73" s="11">
        <f>'OM Assumptions'!$G$30</f>
        <v>0.8571428571428571</v>
      </c>
      <c r="Y73" s="11">
        <f>'OM Assumptions'!$G$30</f>
        <v>0.8571428571428571</v>
      </c>
      <c r="Z73" s="11">
        <f>'OM Assumptions'!$G$30</f>
        <v>0.8571428571428571</v>
      </c>
      <c r="AA73" s="11">
        <f>'OM Assumptions'!$G$30</f>
        <v>0.8571428571428571</v>
      </c>
      <c r="AB73" s="11">
        <f>'OM Assumptions'!$G$30</f>
        <v>0.8571428571428571</v>
      </c>
    </row>
    <row r="74" spans="2:29" x14ac:dyDescent="0.2">
      <c r="B74" s="160" t="s">
        <v>598</v>
      </c>
      <c r="C74" s="136">
        <f>'OM Assumptions'!$H$27</f>
        <v>3.8095238095238078E-2</v>
      </c>
      <c r="D74" s="136">
        <f>'OM Assumptions'!$H$27</f>
        <v>3.8095238095238078E-2</v>
      </c>
      <c r="E74" s="136">
        <f>'OM Assumptions'!$H$27</f>
        <v>3.8095238095238078E-2</v>
      </c>
      <c r="F74" s="136">
        <f>'OM Assumptions'!$H$27</f>
        <v>3.8095238095238078E-2</v>
      </c>
      <c r="G74" s="136">
        <f>'OM Assumptions'!$H$27</f>
        <v>3.8095238095238078E-2</v>
      </c>
      <c r="H74" s="136"/>
      <c r="I74" s="1060" t="s">
        <v>598</v>
      </c>
      <c r="J74" s="136">
        <f>'OM Assumptions'!$H$28</f>
        <v>9.5238095238095191E-2</v>
      </c>
      <c r="K74" s="136">
        <f>'OM Assumptions'!$H$28</f>
        <v>9.5238095238095191E-2</v>
      </c>
      <c r="L74" s="136">
        <f>'OM Assumptions'!$H$28</f>
        <v>9.5238095238095191E-2</v>
      </c>
      <c r="M74" s="136">
        <f>'OM Assumptions'!$H$28</f>
        <v>9.5238095238095191E-2</v>
      </c>
      <c r="N74" s="136">
        <f>'OM Assumptions'!$H$28</f>
        <v>9.5238095238095191E-2</v>
      </c>
      <c r="O74" s="136"/>
      <c r="P74" s="231" t="s">
        <v>598</v>
      </c>
      <c r="Q74" s="136">
        <f>'OM Assumptions'!$H$29</f>
        <v>9.5238095238095195E-3</v>
      </c>
      <c r="R74" s="136">
        <f>'OM Assumptions'!$H$29</f>
        <v>9.5238095238095195E-3</v>
      </c>
      <c r="S74" s="136">
        <f>'OM Assumptions'!$H$29</f>
        <v>9.5238095238095195E-3</v>
      </c>
      <c r="T74" s="136">
        <f>'OM Assumptions'!$H$29</f>
        <v>9.5238095238095195E-3</v>
      </c>
      <c r="U74" s="136">
        <f>'OM Assumptions'!$H$29</f>
        <v>9.5238095238095195E-3</v>
      </c>
      <c r="V74" s="136"/>
      <c r="W74" s="231" t="s">
        <v>598</v>
      </c>
      <c r="X74" s="136">
        <f>'OM Assumptions'!$H$30</f>
        <v>5.7142857142857127E-2</v>
      </c>
      <c r="Y74" s="136">
        <f>'OM Assumptions'!$H$30</f>
        <v>5.7142857142857127E-2</v>
      </c>
      <c r="Z74" s="136">
        <f>'OM Assumptions'!$H$30</f>
        <v>5.7142857142857127E-2</v>
      </c>
      <c r="AA74" s="136">
        <f>'OM Assumptions'!$H$30</f>
        <v>5.7142857142857127E-2</v>
      </c>
      <c r="AB74" s="136">
        <f>'OM Assumptions'!$H$30</f>
        <v>5.7142857142857127E-2</v>
      </c>
    </row>
    <row r="75" spans="2:29" x14ac:dyDescent="0.2">
      <c r="B75" s="160" t="s">
        <v>599</v>
      </c>
      <c r="C75" s="117">
        <f>SQRT((2*C69*'OM Assumptions'!C$37)/('OM Assumptions'!C$36*C68))*(1+'OM Assumptions'!C$11)</f>
        <v>1137.4413532277094</v>
      </c>
      <c r="D75" s="117">
        <f>SQRT((2*D69*'OM Assumptions'!D$37)/('OM Assumptions'!D$36*D68))*(1+'OM Assumptions'!D$11)</f>
        <v>1590.9046912366164</v>
      </c>
      <c r="E75" s="117">
        <f>SQRT((2*E69*'OM Assumptions'!E$37)/('OM Assumptions'!E$36*E68))*(1+'OM Assumptions'!E$11)</f>
        <v>2582.1497282682321</v>
      </c>
      <c r="F75" s="117">
        <f>SQRT((2*F69*'OM Assumptions'!F$37)/('OM Assumptions'!F$36*F68))*(1+'OM Assumptions'!F$11)</f>
        <v>3382.5498709076242</v>
      </c>
      <c r="G75" s="117">
        <f>SQRT((2*G69*'OM Assumptions'!G$37)/('OM Assumptions'!G$36*G68))*(1+'OM Assumptions'!G$11)</f>
        <v>3990.34964537515</v>
      </c>
      <c r="H75" s="117"/>
      <c r="I75" s="1060" t="s">
        <v>599</v>
      </c>
      <c r="J75" s="117">
        <f>SQRT((2*J69*'OM Assumptions'!C$37)/('OM Assumptions'!C$36*J68))*(1+'OM Assumptions'!C$11)</f>
        <v>2291.6579802509023</v>
      </c>
      <c r="K75" s="117">
        <f>SQRT((2*K69*'OM Assumptions'!D$37)/('OM Assumptions'!D$36*K68))*(1+'OM Assumptions'!D$11)</f>
        <v>3205.2724486808056</v>
      </c>
      <c r="L75" s="117">
        <f>SQRT((2*L69*'OM Assumptions'!E$37)/('OM Assumptions'!E$36*L68))*(1+'OM Assumptions'!E$11)</f>
        <v>5202.3816561590775</v>
      </c>
      <c r="M75" s="117">
        <f>SQRT((2*M69*'OM Assumptions'!F$37)/('OM Assumptions'!F$36*M68))*(1+'OM Assumptions'!F$11)</f>
        <v>6814.9864459080209</v>
      </c>
      <c r="N75" s="117">
        <f>SQRT((2*N69*'OM Assumptions'!G$37)/('OM Assumptions'!G$36*N68))*(1+'OM Assumptions'!G$11)</f>
        <v>8039.5499801954538</v>
      </c>
      <c r="O75" s="117"/>
      <c r="P75" s="160" t="s">
        <v>599</v>
      </c>
      <c r="Q75" s="117">
        <f>SQRT((2*Q69*'OM Assumptions'!C$37)/('OM Assumptions'!C$36*Q68))*(1+'OM Assumptions'!C$11)</f>
        <v>1547.815171399367</v>
      </c>
      <c r="R75" s="117">
        <f>SQRT((2*R69*'OM Assumptions'!D$37)/('OM Assumptions'!D$36*R68))*(1+'OM Assumptions'!D$11)</f>
        <v>2164.8820929174499</v>
      </c>
      <c r="S75" s="117">
        <f>SQRT((2*S69*'OM Assumptions'!E$37)/('OM Assumptions'!E$36*S68))*(1+'OM Assumptions'!E$11)</f>
        <v>3513.7552480371328</v>
      </c>
      <c r="T75" s="117">
        <f>SQRT((2*T69*'OM Assumptions'!F$37)/('OM Assumptions'!F$36*T68))*(1+'OM Assumptions'!F$11)</f>
        <v>4602.9291913370953</v>
      </c>
      <c r="U75" s="117">
        <f>SQRT((2*U69*'OM Assumptions'!G$37)/('OM Assumptions'!G$36*U68))*(1+'OM Assumptions'!G$11)</f>
        <v>5430.0150972823612</v>
      </c>
      <c r="V75" s="117"/>
      <c r="W75" s="226" t="s">
        <v>599</v>
      </c>
      <c r="X75" s="117">
        <f>SQRT((2*X69*'OM Assumptions'!C$37)/('OM Assumptions'!C$36*X68))*(1+'OM Assumptions'!C$11)</f>
        <v>5481.202137058578</v>
      </c>
      <c r="Y75" s="117">
        <f>SQRT((2*Y69*'OM Assumptions'!D$37)/('OM Assumptions'!D$36*Y68))*(1+'OM Assumptions'!D$11)</f>
        <v>7666.3910352105413</v>
      </c>
      <c r="Z75" s="117">
        <f>SQRT((2*Z69*'OM Assumptions'!E$37)/('OM Assumptions'!E$36*Z68))*(1+'OM Assumptions'!E$11)</f>
        <v>12443.089543585156</v>
      </c>
      <c r="AA75" s="117">
        <f>SQRT((2*AA69*'OM Assumptions'!F$37)/('OM Assumptions'!F$36*AA68))*(1+'OM Assumptions'!F$11)</f>
        <v>16300.12793935618</v>
      </c>
      <c r="AB75" s="117">
        <f>SQRT((2*AB69*'OM Assumptions'!G$37)/('OM Assumptions'!G$36*AB68))*(1+'OM Assumptions'!G$11)</f>
        <v>19229.046791533856</v>
      </c>
      <c r="AC75" s="117"/>
    </row>
    <row r="76" spans="2:29" x14ac:dyDescent="0.2">
      <c r="B76" s="160" t="s">
        <v>600</v>
      </c>
      <c r="C76" s="117">
        <f>C75/2</f>
        <v>568.72067661385472</v>
      </c>
      <c r="D76" s="117">
        <f>D75/2</f>
        <v>795.45234561830819</v>
      </c>
      <c r="E76" s="117">
        <f>E75/2</f>
        <v>1291.0748641341161</v>
      </c>
      <c r="F76" s="117">
        <f>F75/2</f>
        <v>1691.2749354538121</v>
      </c>
      <c r="G76" s="117">
        <f>G75/2</f>
        <v>1995.174822687575</v>
      </c>
      <c r="H76" s="117"/>
      <c r="I76" s="1060" t="s">
        <v>600</v>
      </c>
      <c r="J76" s="117">
        <f>J75/2</f>
        <v>1145.8289901254511</v>
      </c>
      <c r="K76" s="117">
        <f>K75/2</f>
        <v>1602.6362243404028</v>
      </c>
      <c r="L76" s="117">
        <f>L75/2</f>
        <v>2601.1908280795387</v>
      </c>
      <c r="M76" s="117">
        <f>M75/2</f>
        <v>3407.4932229540104</v>
      </c>
      <c r="N76" s="117">
        <f>N75/2</f>
        <v>4019.7749900977269</v>
      </c>
      <c r="O76" s="117"/>
      <c r="P76" s="160" t="s">
        <v>600</v>
      </c>
      <c r="Q76" s="117">
        <f>Q75/2</f>
        <v>773.90758569968352</v>
      </c>
      <c r="R76" s="117">
        <f>R75/2</f>
        <v>1082.4410464587249</v>
      </c>
      <c r="S76" s="117">
        <f>S75/2</f>
        <v>1756.8776240185664</v>
      </c>
      <c r="T76" s="117">
        <f>T75/2</f>
        <v>2301.4645956685476</v>
      </c>
      <c r="U76" s="117">
        <f>U75/2</f>
        <v>2715.0075486411806</v>
      </c>
      <c r="V76" s="117"/>
      <c r="W76" s="226" t="s">
        <v>600</v>
      </c>
      <c r="X76" s="117">
        <f>X75/2</f>
        <v>2740.601068529289</v>
      </c>
      <c r="Y76" s="117">
        <f>Y75/2</f>
        <v>3833.1955176052707</v>
      </c>
      <c r="Z76" s="117">
        <f>Z75/2</f>
        <v>6221.5447717925781</v>
      </c>
      <c r="AA76" s="117">
        <f>AA75/2</f>
        <v>8150.06396967809</v>
      </c>
      <c r="AB76" s="117">
        <f>AB75/2</f>
        <v>9614.5233957669279</v>
      </c>
    </row>
    <row r="77" spans="2:29" x14ac:dyDescent="0.2">
      <c r="B77" s="160" t="s">
        <v>601</v>
      </c>
      <c r="C77" s="136">
        <f>'OM Assumptions'!C35*SQRT('OM Raw Materials Y1 - Y5'!C73*'OM Raw Materials Y1 - Y5'!C71^2+'OM Raw Materials Y1 - Y5'!C70^2*'OM Raw Materials Y1 - Y5'!C74^2)</f>
        <v>0.59757341828313082</v>
      </c>
      <c r="D77" s="136">
        <f>'OM Assumptions'!D35*SQRT('OM Raw Materials Y1 - Y5'!D73*'OM Raw Materials Y1 - Y5'!D71^2+'OM Raw Materials Y1 - Y5'!D70^2*'OM Raw Materials Y1 - Y5'!D74^2)</f>
        <v>1.1707714293667226</v>
      </c>
      <c r="E77" s="136">
        <f>'OM Assumptions'!E35*SQRT('OM Raw Materials Y1 - Y5'!E73*'OM Raw Materials Y1 - Y5'!E71^2+'OM Raw Materials Y1 - Y5'!E70^2*'OM Raw Materials Y1 - Y5'!E74^2)</f>
        <v>3.0842291248704834</v>
      </c>
      <c r="F77" s="136">
        <f>'OM Assumptions'!F35*SQRT('OM Raw Materials Y1 - Y5'!F73*'OM Raw Materials Y1 - Y5'!F71^2+'OM Raw Materials Y1 - Y5'!F70^2*'OM Raw Materials Y1 - Y5'!F74^2)</f>
        <v>5.2926382055175338</v>
      </c>
      <c r="G77" s="136">
        <f>'OM Assumptions'!G35*SQRT('OM Raw Materials Y1 - Y5'!G73*'OM Raw Materials Y1 - Y5'!G71^2+'OM Raw Materials Y1 - Y5'!G70^2*'OM Raw Materials Y1 - Y5'!G74^2)</f>
        <v>7.3655586762575105</v>
      </c>
      <c r="H77" s="136"/>
      <c r="I77" s="1060" t="s">
        <v>601</v>
      </c>
      <c r="J77" s="117">
        <f>'OM Assumptions'!C35*SQRT('OM Raw Materials Y1 - Y5'!J73*'OM Raw Materials Y1 - Y5'!J71^2+'OM Raw Materials Y1 - Y5'!J70^2*'OM Raw Materials Y1 - Y5'!J74^2)</f>
        <v>731.07214992105071</v>
      </c>
      <c r="K77" s="117">
        <f>'OM Assumptions'!D35*SQRT('OM Raw Materials Y1 - Y5'!K73*'OM Raw Materials Y1 - Y5'!K71^2+'OM Raw Materials Y1 - Y5'!K70^2*'OM Raw Materials Y1 - Y5'!K74^2)</f>
        <v>1432.323392818214</v>
      </c>
      <c r="L77" s="117">
        <f>'OM Assumptions'!E35*SQRT('OM Raw Materials Y1 - Y5'!L73*'OM Raw Materials Y1 - Y5'!L71^2+'OM Raw Materials Y1 - Y5'!L70^2*'OM Raw Materials Y1 - Y5'!L74^2)</f>
        <v>3773.2501951749496</v>
      </c>
      <c r="M77" s="117">
        <f>'OM Assumptions'!F35*SQRT('OM Raw Materials Y1 - Y5'!M73*'OM Raw Materials Y1 - Y5'!M71^2+'OM Raw Materials Y1 - Y5'!M70^2*'OM Raw Materials Y1 - Y5'!M74^2)</f>
        <v>6475.0209317856861</v>
      </c>
      <c r="N77" s="117">
        <f>'OM Assumptions'!G35*SQRT('OM Raw Materials Y1 - Y5'!N73*'OM Raw Materials Y1 - Y5'!N71^2+'OM Raw Materials Y1 - Y5'!N70^2*'OM Raw Materials Y1 - Y5'!N74^2)</f>
        <v>9011.0347148505953</v>
      </c>
      <c r="O77" s="117"/>
      <c r="P77" s="160" t="s">
        <v>601</v>
      </c>
      <c r="Q77" s="117">
        <f>'OM Assumptions'!C35*SQRT('OM Raw Materials Y1 - Y5'!Q73*'OM Raw Materials Y1 - Y5'!Q71^2+'OM Raw Materials Y1 - Y5'!Q70^2*'OM Raw Materials Y1 - Y5'!Q74^2)</f>
        <v>230.94721125593932</v>
      </c>
      <c r="R77" s="117">
        <f>'OM Assumptions'!D35*SQRT('OM Raw Materials Y1 - Y5'!R73*'OM Raw Materials Y1 - Y5'!R71^2+'OM Raw Materials Y1 - Y5'!R70^2*'OM Raw Materials Y1 - Y5'!R74^2)</f>
        <v>452.47393601812661</v>
      </c>
      <c r="S77" s="117">
        <f>'OM Assumptions'!E35*SQRT('OM Raw Materials Y1 - Y5'!S73*'OM Raw Materials Y1 - Y5'!S71^2+'OM Raw Materials Y1 - Y5'!S70^2*'OM Raw Materials Y1 - Y5'!S74^2)</f>
        <v>1191.9775770978133</v>
      </c>
      <c r="T77" s="117">
        <f>'OM Assumptions'!F35*SQRT('OM Raw Materials Y1 - Y5'!T73*'OM Raw Materials Y1 - Y5'!T71^2+'OM Raw Materials Y1 - Y5'!T70^2*'OM Raw Materials Y1 - Y5'!T74^2)</f>
        <v>2045.4725668064723</v>
      </c>
      <c r="U77" s="117">
        <f>'OM Assumptions'!G35*SQRT('OM Raw Materials Y1 - Y5'!U73*'OM Raw Materials Y1 - Y5'!U71^2+'OM Raw Materials Y1 - Y5'!U70^2*'OM Raw Materials Y1 - Y5'!U74^2)</f>
        <v>2846.6045904633902</v>
      </c>
      <c r="V77" s="117"/>
      <c r="W77" s="226" t="s">
        <v>601</v>
      </c>
      <c r="X77" s="117">
        <f>'OM Assumptions'!C35*SQRT('OM Raw Materials Y1 - Y5'!X73*'OM Raw Materials Y1 - Y5'!X71^2+'OM Raw Materials Y1 - Y5'!X70^2*'OM Raw Materials Y1 - Y5'!X74^2)</f>
        <v>566.02691440288447</v>
      </c>
      <c r="Y77" s="117">
        <f>'OM Assumptions'!D35*SQRT('OM Raw Materials Y1 - Y5'!Y73*'OM Raw Materials Y1 - Y5'!Y71^2+'OM Raw Materials Y1 - Y5'!Y70^2*'OM Raw Materials Y1 - Y5'!Y74^2)</f>
        <v>1108.96522395432</v>
      </c>
      <c r="Z77" s="117">
        <f>'OM Assumptions'!E35*SQRT('OM Raw Materials Y1 - Y5'!Z73*'OM Raw Materials Y1 - Y5'!Z71^2+'OM Raw Materials Y1 - Y5'!Z70^2*'OM Raw Materials Y1 - Y5'!Z74^2)</f>
        <v>2921.4095564652566</v>
      </c>
      <c r="AA77" s="117">
        <f>'OM Assumptions'!F35*SQRT('OM Raw Materials Y1 - Y5'!AA73*'OM Raw Materials Y1 - Y5'!AA71^2+'OM Raw Materials Y1 - Y5'!AA70^2*'OM Raw Materials Y1 - Y5'!AA74^2)</f>
        <v>5013.2344928042094</v>
      </c>
      <c r="AB77" s="117">
        <f>'OM Assumptions'!G35*SQRT('OM Raw Materials Y1 - Y5'!AB73*'OM Raw Materials Y1 - Y5'!AB71^2+'OM Raw Materials Y1 - Y5'!AB70^2*'OM Raw Materials Y1 - Y5'!AB74^2)</f>
        <v>6976.7233997013363</v>
      </c>
    </row>
    <row r="78" spans="2:29" x14ac:dyDescent="0.2">
      <c r="B78" s="3" t="s">
        <v>602</v>
      </c>
      <c r="I78" s="3" t="s">
        <v>602</v>
      </c>
      <c r="J78" s="3"/>
      <c r="K78" s="3"/>
      <c r="L78" s="3"/>
      <c r="M78" s="3"/>
      <c r="N78" s="3"/>
      <c r="O78" s="3"/>
      <c r="P78" s="3" t="s">
        <v>602</v>
      </c>
      <c r="Q78" s="3"/>
      <c r="R78" s="3"/>
      <c r="S78" s="3"/>
      <c r="T78" s="3"/>
      <c r="U78" s="3"/>
      <c r="V78" s="3"/>
      <c r="W78" s="142" t="s">
        <v>602</v>
      </c>
    </row>
    <row r="79" spans="2:29" x14ac:dyDescent="0.2">
      <c r="B79" s="227" t="s">
        <v>603</v>
      </c>
      <c r="C79" s="144">
        <f>SUM(C76:C78)</f>
        <v>569.31825003213783</v>
      </c>
      <c r="D79" s="144">
        <f>SUM(D76:D78)</f>
        <v>796.6231170476749</v>
      </c>
      <c r="E79" s="144">
        <f>SUM(E76:E78)</f>
        <v>1294.1590932589866</v>
      </c>
      <c r="F79" s="144">
        <f>SUM(F76:F78)</f>
        <v>1696.5675736593296</v>
      </c>
      <c r="G79" s="144">
        <f>SUM(G76:G78)</f>
        <v>2002.5403813638325</v>
      </c>
      <c r="H79" s="144"/>
      <c r="I79" s="227"/>
      <c r="J79" s="144">
        <f>SUM(J76:J78)</f>
        <v>1876.901140046502</v>
      </c>
      <c r="K79" s="144">
        <f>SUM(K76:K78)</f>
        <v>3034.9596171586168</v>
      </c>
      <c r="L79" s="144">
        <f>SUM(L76:L78)</f>
        <v>6374.4410232544888</v>
      </c>
      <c r="M79" s="144">
        <f>SUM(M76:M78)</f>
        <v>9882.5141547396961</v>
      </c>
      <c r="N79" s="144">
        <f>SUM(N76:N78)</f>
        <v>13030.809704948322</v>
      </c>
      <c r="O79" s="144"/>
      <c r="P79" s="227"/>
      <c r="Q79" s="144">
        <f>SUM(Q76:Q78)</f>
        <v>1004.8547969556229</v>
      </c>
      <c r="R79" s="144">
        <f>SUM(R76:R78)</f>
        <v>1534.9149824768515</v>
      </c>
      <c r="S79" s="144">
        <f>SUM(S76:S78)</f>
        <v>2948.8552011163797</v>
      </c>
      <c r="T79" s="144">
        <f>SUM(T76:T78)</f>
        <v>4346.9371624750202</v>
      </c>
      <c r="U79" s="144">
        <f>SUM(U76:U78)</f>
        <v>5561.6121391045708</v>
      </c>
      <c r="V79" s="144"/>
      <c r="W79" s="145"/>
      <c r="X79" s="144">
        <f>SUM(X76:X78)</f>
        <v>3306.6279829321734</v>
      </c>
      <c r="Y79" s="144">
        <f>SUM(Y76:Y78)</f>
        <v>4942.1607415595909</v>
      </c>
      <c r="Z79" s="144">
        <f>SUM(Z76:Z78)</f>
        <v>9142.9543282578343</v>
      </c>
      <c r="AA79" s="144">
        <f>SUM(AA76:AA78)</f>
        <v>13163.2984624823</v>
      </c>
      <c r="AB79" s="144">
        <f>SUM(AB76:AB78)</f>
        <v>16591.246795468265</v>
      </c>
    </row>
    <row r="80" spans="2:29" x14ac:dyDescent="0.2">
      <c r="B80" s="3"/>
      <c r="C80" s="41">
        <v>303</v>
      </c>
      <c r="I80" s="3"/>
      <c r="J80" s="3"/>
      <c r="K80" s="3"/>
      <c r="L80" s="3"/>
      <c r="M80" s="3"/>
      <c r="N80" s="3"/>
      <c r="O80" s="3"/>
      <c r="P80" s="3"/>
      <c r="Q80" s="3"/>
      <c r="R80" s="3"/>
      <c r="S80" s="3"/>
      <c r="T80" s="3"/>
      <c r="U80" s="3"/>
      <c r="V80" s="3"/>
      <c r="W80" s="142"/>
    </row>
    <row r="81" spans="2:28" x14ac:dyDescent="0.2">
      <c r="B81" s="142" t="s">
        <v>604</v>
      </c>
      <c r="C81" s="59">
        <f>(C75*C68)/2</f>
        <v>2.2690991015345947</v>
      </c>
      <c r="D81" s="59">
        <f>(D75*D68)/2</f>
        <v>3.1737200298444677</v>
      </c>
      <c r="E81" s="59">
        <f>(E75*E68)/2</f>
        <v>5.1511698707056528</v>
      </c>
      <c r="F81" s="59">
        <f>(F75*F68)/2</f>
        <v>6.7479003213591513</v>
      </c>
      <c r="G81" s="59">
        <f>(G75*G68)/2</f>
        <v>7.9604093603909796</v>
      </c>
      <c r="H81" s="59"/>
      <c r="J81" s="59">
        <f>(J75*J68)/2</f>
        <v>870.83003249534283</v>
      </c>
      <c r="K81" s="59">
        <f>(K75*K68)/2</f>
        <v>1218.0035304987061</v>
      </c>
      <c r="L81" s="59">
        <f>(L75*L68)/2</f>
        <v>1976.9050293404496</v>
      </c>
      <c r="M81" s="59">
        <f>(M75*M68)/2</f>
        <v>2589.694849445048</v>
      </c>
      <c r="N81" s="59">
        <f>(N75*N68)/2</f>
        <v>3055.0289924742724</v>
      </c>
      <c r="O81" s="59"/>
      <c r="Q81" s="59">
        <f>(Q75*Q68)/2</f>
        <v>1289.3300377756727</v>
      </c>
      <c r="R81" s="59">
        <f>(R75*R68)/2</f>
        <v>1803.3467834002356</v>
      </c>
      <c r="S81" s="59">
        <f>(S75*S68)/2</f>
        <v>2926.9581216149313</v>
      </c>
      <c r="T81" s="59">
        <f>(T75*T68)/2</f>
        <v>3834.2400163838001</v>
      </c>
      <c r="U81" s="59">
        <f>(U75*U68)/2</f>
        <v>4523.2025760362067</v>
      </c>
      <c r="V81" s="59"/>
      <c r="X81" s="59">
        <f>(X75*X68)/2</f>
        <v>364.08885195411602</v>
      </c>
      <c r="Y81" s="59">
        <f>(Y75*Y68)/2</f>
        <v>509.24002451386019</v>
      </c>
      <c r="Z81" s="59">
        <f>(Z75*Z68)/2</f>
        <v>826.532222932644</v>
      </c>
      <c r="AA81" s="59">
        <f>(AA75*AA68)/2</f>
        <v>1082.7359983717342</v>
      </c>
      <c r="AB81" s="59">
        <f>(AB75*AB68)/2</f>
        <v>1277.2894331276364</v>
      </c>
    </row>
    <row r="82" spans="2:28" x14ac:dyDescent="0.2">
      <c r="B82" s="3" t="s">
        <v>605</v>
      </c>
      <c r="C82" s="59">
        <f>C77*(C68)</f>
        <v>2.3842166502552934E-3</v>
      </c>
      <c r="D82" s="59">
        <f>D77*(D68)</f>
        <v>4.671179557415946E-3</v>
      </c>
      <c r="E82" s="59">
        <f>E77*(E68)</f>
        <v>1.2305551431396564E-2</v>
      </c>
      <c r="F82" s="59">
        <f>F77*(F68)</f>
        <v>2.1116729337839125E-2</v>
      </c>
      <c r="G82" s="59">
        <f>G77*(G68)</f>
        <v>2.9387330656071842E-2</v>
      </c>
      <c r="H82" s="59"/>
      <c r="I82" s="136"/>
      <c r="J82" s="59">
        <f>J77*(J68)</f>
        <v>555.61483393999856</v>
      </c>
      <c r="K82" s="59">
        <f>K77*(K68)</f>
        <v>1088.5657785418425</v>
      </c>
      <c r="L82" s="59">
        <f>L77*(L68)</f>
        <v>2867.6701483329616</v>
      </c>
      <c r="M82" s="59">
        <f>M77*(M68)</f>
        <v>4921.0159081571219</v>
      </c>
      <c r="N82" s="59">
        <f>N77*(N68)</f>
        <v>6848.3863832864527</v>
      </c>
      <c r="O82" s="59"/>
      <c r="P82" s="136"/>
      <c r="Q82" s="59">
        <f>Q77*(Q68)</f>
        <v>384.7580539523949</v>
      </c>
      <c r="R82" s="59">
        <f>R77*(R68)</f>
        <v>753.82157740619891</v>
      </c>
      <c r="S82" s="59">
        <f>S77*(S68)</f>
        <v>1985.8346434449568</v>
      </c>
      <c r="T82" s="59">
        <f>T77*(T68)</f>
        <v>3407.7572962995828</v>
      </c>
      <c r="U82" s="59">
        <f>U77*(U68)</f>
        <v>4742.4432477120081</v>
      </c>
      <c r="V82" s="59"/>
      <c r="W82" s="136"/>
      <c r="X82" s="59">
        <f>X77*(X68)</f>
        <v>75.196675578423196</v>
      </c>
      <c r="Y82" s="59">
        <f>Y77*(Y68)</f>
        <v>147.32603000233141</v>
      </c>
      <c r="Z82" s="59">
        <f>Z77*(Z68)</f>
        <v>388.10925957640933</v>
      </c>
      <c r="AA82" s="59">
        <f>AA77*(AA68)</f>
        <v>666.00820236903917</v>
      </c>
      <c r="AB82" s="59">
        <f>AB77*(AB68)</f>
        <v>926.85770365032249</v>
      </c>
    </row>
    <row r="83" spans="2:28" x14ac:dyDescent="0.2">
      <c r="B83" s="3" t="s">
        <v>607</v>
      </c>
      <c r="C83" s="59">
        <f>SUM(C81:C82)</f>
        <v>2.2714833181848499</v>
      </c>
      <c r="D83" s="59">
        <f t="shared" ref="D83:AB83" si="4">SUM(D81:D82)</f>
        <v>3.1783912094018838</v>
      </c>
      <c r="E83" s="59">
        <f t="shared" si="4"/>
        <v>5.1634754221370498</v>
      </c>
      <c r="F83" s="59">
        <f t="shared" si="4"/>
        <v>6.7690170506969904</v>
      </c>
      <c r="G83" s="59">
        <f t="shared" si="4"/>
        <v>7.9897966910470517</v>
      </c>
      <c r="H83" s="59"/>
      <c r="I83" s="59"/>
      <c r="J83" s="59">
        <f t="shared" si="4"/>
        <v>1426.4448664353413</v>
      </c>
      <c r="K83" s="59">
        <f t="shared" si="4"/>
        <v>2306.5693090405484</v>
      </c>
      <c r="L83" s="59">
        <f t="shared" si="4"/>
        <v>4844.5751776734114</v>
      </c>
      <c r="M83" s="59">
        <f t="shared" si="4"/>
        <v>7510.7107576021699</v>
      </c>
      <c r="N83" s="59">
        <f t="shared" si="4"/>
        <v>9903.4153757607255</v>
      </c>
      <c r="O83" s="59"/>
      <c r="P83" s="59"/>
      <c r="Q83" s="59">
        <f t="shared" si="4"/>
        <v>1674.0880917280676</v>
      </c>
      <c r="R83" s="59">
        <f t="shared" si="4"/>
        <v>2557.1683608064345</v>
      </c>
      <c r="S83" s="59">
        <f t="shared" si="4"/>
        <v>4912.7927650598886</v>
      </c>
      <c r="T83" s="59">
        <f t="shared" si="4"/>
        <v>7241.9973126833829</v>
      </c>
      <c r="U83" s="59">
        <f t="shared" si="4"/>
        <v>9265.6458237482148</v>
      </c>
      <c r="V83" s="59"/>
      <c r="W83" s="59"/>
      <c r="X83" s="59">
        <f t="shared" si="4"/>
        <v>439.28552753253922</v>
      </c>
      <c r="Y83" s="59">
        <f t="shared" si="4"/>
        <v>656.56605451619157</v>
      </c>
      <c r="Z83" s="59">
        <f t="shared" si="4"/>
        <v>1214.6414825090533</v>
      </c>
      <c r="AA83" s="59">
        <f t="shared" si="4"/>
        <v>1748.7442007407735</v>
      </c>
      <c r="AB83" s="59">
        <f t="shared" si="4"/>
        <v>2204.1471367779586</v>
      </c>
    </row>
    <row r="84" spans="2:28" x14ac:dyDescent="0.2">
      <c r="X84" s="11"/>
    </row>
    <row r="85" spans="2:28" x14ac:dyDescent="0.2">
      <c r="C85" s="86">
        <f>Q24+X24+C43+X43+J62+Q62+X62+C81+Q81+X81</f>
        <v>5998.8328680525146</v>
      </c>
      <c r="D85" s="86"/>
      <c r="E85" s="86"/>
      <c r="F85" s="86"/>
      <c r="G85" s="86"/>
      <c r="H85" s="86"/>
    </row>
    <row r="89" spans="2:28" x14ac:dyDescent="0.2">
      <c r="B89" s="228" t="s">
        <v>610</v>
      </c>
      <c r="C89" s="229">
        <v>1</v>
      </c>
      <c r="D89" s="229">
        <v>2</v>
      </c>
      <c r="E89" s="229">
        <v>3</v>
      </c>
      <c r="F89" s="229">
        <v>4</v>
      </c>
      <c r="G89" s="229">
        <v>5</v>
      </c>
      <c r="H89" s="1005"/>
    </row>
    <row r="90" spans="2:28" x14ac:dyDescent="0.2">
      <c r="C90" s="59">
        <f>SUM(C24:C25,J24:J25,Q24:Q25,X24:X25,C43:C44,J43:J44,Q43:Q44,X43:X44,C62:C63,J62:J63,Q62:Q63,X62:X63,C81:C82,J81:J82,Q81:Q82,X81:X82)</f>
        <v>61784.199766297446</v>
      </c>
      <c r="D90" s="59">
        <f>SUM(D24:D25,K24:K25,R24:R25,Y24:Y25,D43:D44,K43:K44,R43:R44,Y43:Y44,D62:D63,K62:K63,R62:R63,Y62:Y63,D81:D82,K81:K82,R81:R82,Y81:Y82)</f>
        <v>109634.03489965237</v>
      </c>
      <c r="E90" s="59">
        <f>SUM(E24:E25,L24:L25,S24:S25,Z24:Z25,E43:E44,L43:L44,S43:S44,Z43:Z44,E62:E63,L62:L63,S62:S63,Z62:Z63,E81:E82,L81:L82,S81:S82,Z81:Z82)</f>
        <v>260599.37958656834</v>
      </c>
      <c r="F90" s="59">
        <f>SUM(F24:F25,M24:M25,T24:T25,AA24:AA25,F43:F44,M43:M44,T43:T44,AA43:AA44,F62:F63,M62:M63,T62:T63,AA62:AA63,F81:F82,M81:M82,T81:T82,AA81:AA82)</f>
        <v>429067.94595654175</v>
      </c>
      <c r="G90" s="59">
        <f>SUM(G24:G25,N24:N25,U24:U25,AB24:AB25,G43:G44,N43:N44,U43:U44,AB43:AB44,G62:G63,N62:N63,U62:U63,AB62:AB63,G81:G82,N81:N82,U81:U82,AB81:AB82)</f>
        <v>584792.43618212477</v>
      </c>
      <c r="H90" s="59"/>
      <c r="I90" s="3"/>
      <c r="J90" s="3"/>
      <c r="K90" s="3"/>
      <c r="L90" s="3"/>
      <c r="M90" s="3"/>
      <c r="N90" s="3"/>
      <c r="O90" s="3"/>
      <c r="P90" s="11"/>
      <c r="Q90" s="3"/>
      <c r="R90" s="3"/>
      <c r="S90" s="3"/>
      <c r="T90" s="3"/>
      <c r="U90" s="3"/>
      <c r="V90" s="3"/>
    </row>
    <row r="91" spans="2:28" x14ac:dyDescent="0.2">
      <c r="B91" s="3"/>
      <c r="C91" s="3"/>
      <c r="D91" s="3"/>
      <c r="E91" s="3"/>
      <c r="F91" s="3"/>
      <c r="G91" s="3"/>
      <c r="H91" s="3"/>
      <c r="I91" s="3"/>
      <c r="J91" s="3"/>
      <c r="K91" s="3"/>
      <c r="L91" s="3"/>
      <c r="M91" s="3"/>
      <c r="N91" s="3"/>
      <c r="O91" s="3"/>
      <c r="P91" s="3"/>
      <c r="Q91" s="3"/>
      <c r="R91" s="3"/>
      <c r="S91" s="3"/>
      <c r="T91" s="3"/>
      <c r="U91" s="3"/>
      <c r="V91" s="3"/>
    </row>
    <row r="92" spans="2:28" x14ac:dyDescent="0.2">
      <c r="B92" s="3"/>
      <c r="C92" s="3"/>
      <c r="D92" s="3"/>
      <c r="E92" s="3"/>
      <c r="F92" s="3"/>
      <c r="G92" s="3"/>
      <c r="H92" s="3"/>
      <c r="I92" s="67"/>
      <c r="J92" s="67"/>
      <c r="K92" s="67"/>
      <c r="L92" s="67"/>
      <c r="M92" s="67"/>
      <c r="N92" s="67"/>
      <c r="O92" s="67"/>
      <c r="P92" s="67"/>
      <c r="Q92" s="67"/>
      <c r="R92" s="67"/>
      <c r="S92" s="67"/>
      <c r="T92" s="67"/>
      <c r="U92" s="67"/>
      <c r="V92" s="67"/>
    </row>
    <row r="93" spans="2:28" x14ac:dyDescent="0.2">
      <c r="B93" s="3"/>
      <c r="C93" s="3"/>
      <c r="D93" s="3"/>
      <c r="E93" s="3"/>
      <c r="F93" s="3"/>
      <c r="G93" s="3"/>
      <c r="H93" s="3"/>
      <c r="I93" s="3"/>
      <c r="J93" s="3"/>
      <c r="K93" s="3"/>
      <c r="L93" s="3"/>
      <c r="M93" s="3"/>
      <c r="N93" s="3"/>
      <c r="O93" s="3"/>
      <c r="P93" s="3"/>
      <c r="Q93" s="3"/>
      <c r="R93" s="3"/>
      <c r="S93" s="3"/>
      <c r="T93" s="3"/>
      <c r="U93" s="3"/>
      <c r="V93" s="3"/>
    </row>
    <row r="94" spans="2:28" x14ac:dyDescent="0.2">
      <c r="B94" s="3"/>
      <c r="I94" s="3"/>
      <c r="J94" s="3"/>
      <c r="K94" s="3"/>
      <c r="L94" s="3"/>
      <c r="M94" s="3"/>
      <c r="N94" s="3"/>
      <c r="O94" s="3"/>
      <c r="P94" s="3"/>
      <c r="Q94" s="3"/>
      <c r="R94" s="3"/>
      <c r="S94" s="3"/>
      <c r="T94" s="3"/>
      <c r="U94" s="3"/>
      <c r="V94" s="3"/>
    </row>
    <row r="95" spans="2:28" x14ac:dyDescent="0.2">
      <c r="I95" s="3"/>
      <c r="J95" s="3"/>
      <c r="K95" s="3"/>
      <c r="L95" s="3"/>
      <c r="M95" s="3"/>
      <c r="N95" s="3"/>
      <c r="O95" s="3"/>
      <c r="P95" s="3"/>
      <c r="Q95" s="3"/>
      <c r="R95" s="3"/>
      <c r="S95" s="3"/>
      <c r="T95" s="3"/>
      <c r="U95" s="3"/>
      <c r="V95" s="3"/>
    </row>
    <row r="96" spans="2:28" x14ac:dyDescent="0.2">
      <c r="I96" s="3"/>
      <c r="J96" s="3"/>
      <c r="K96" s="3"/>
      <c r="L96" s="3"/>
      <c r="M96" s="3"/>
      <c r="N96" s="3"/>
      <c r="O96" s="3"/>
      <c r="P96" s="3"/>
      <c r="Q96" s="3"/>
      <c r="R96" s="3"/>
      <c r="S96" s="3"/>
      <c r="T96" s="3"/>
      <c r="U96" s="3"/>
      <c r="V96" s="3"/>
    </row>
    <row r="97" spans="2:22" x14ac:dyDescent="0.2">
      <c r="I97" s="3"/>
      <c r="J97" s="3"/>
      <c r="K97" s="3"/>
      <c r="L97" s="3"/>
      <c r="M97" s="3"/>
      <c r="N97" s="3"/>
      <c r="O97" s="3"/>
      <c r="P97" s="3"/>
      <c r="Q97" s="3"/>
      <c r="R97" s="3"/>
      <c r="S97" s="3"/>
      <c r="T97" s="3"/>
      <c r="U97" s="3"/>
      <c r="V97" s="3"/>
    </row>
    <row r="98" spans="2:22" x14ac:dyDescent="0.2">
      <c r="I98" s="67"/>
      <c r="J98" s="67"/>
      <c r="K98" s="67"/>
      <c r="L98" s="67"/>
      <c r="M98" s="67"/>
      <c r="N98" s="67"/>
      <c r="O98" s="67"/>
      <c r="P98" s="67"/>
      <c r="Q98" s="67"/>
      <c r="R98" s="67"/>
      <c r="S98" s="67"/>
      <c r="T98" s="67"/>
      <c r="U98" s="67"/>
      <c r="V98" s="67"/>
    </row>
    <row r="99" spans="2:22" x14ac:dyDescent="0.2">
      <c r="I99" s="3"/>
      <c r="J99" s="3"/>
      <c r="K99" s="3"/>
      <c r="L99" s="3"/>
      <c r="M99" s="3"/>
      <c r="N99" s="3"/>
      <c r="O99" s="3"/>
      <c r="P99" s="3"/>
      <c r="Q99" s="3"/>
      <c r="R99" s="3"/>
      <c r="S99" s="3"/>
      <c r="T99" s="3"/>
      <c r="U99" s="3"/>
      <c r="V99" s="3"/>
    </row>
    <row r="100" spans="2:22" x14ac:dyDescent="0.2">
      <c r="C100" s="3"/>
      <c r="D100" s="3"/>
      <c r="E100" s="3"/>
      <c r="F100" s="3"/>
      <c r="G100" s="3"/>
      <c r="H100" s="3"/>
      <c r="I100" s="3"/>
      <c r="J100" s="3"/>
      <c r="K100" s="3"/>
      <c r="L100" s="3"/>
      <c r="M100" s="3"/>
      <c r="N100" s="3"/>
      <c r="O100" s="3"/>
      <c r="P100" s="3"/>
      <c r="Q100" s="3"/>
      <c r="R100" s="3"/>
      <c r="S100" s="3"/>
      <c r="T100" s="3"/>
      <c r="U100" s="3"/>
      <c r="V100" s="3"/>
    </row>
    <row r="101" spans="2:22" x14ac:dyDescent="0.2">
      <c r="B101" s="3"/>
      <c r="C101" s="3"/>
      <c r="D101" s="3"/>
      <c r="E101" s="3"/>
      <c r="F101" s="3"/>
      <c r="G101" s="3"/>
      <c r="H101" s="3"/>
      <c r="I101" s="3"/>
      <c r="J101" s="3"/>
      <c r="K101" s="3"/>
      <c r="L101" s="3"/>
      <c r="M101" s="3"/>
      <c r="N101" s="3"/>
      <c r="O101" s="3"/>
      <c r="P101" s="3"/>
      <c r="Q101" s="3"/>
      <c r="R101" s="3"/>
      <c r="S101" s="3"/>
      <c r="T101" s="3"/>
      <c r="U101" s="3"/>
      <c r="V101" s="3"/>
    </row>
    <row r="102" spans="2:22" x14ac:dyDescent="0.2">
      <c r="B102" s="67"/>
      <c r="C102" s="3"/>
      <c r="D102" s="3"/>
      <c r="E102" s="3"/>
      <c r="F102" s="3"/>
      <c r="G102" s="3"/>
      <c r="H102" s="3"/>
      <c r="I102" s="3"/>
      <c r="J102" s="3"/>
      <c r="K102" s="3"/>
      <c r="L102" s="3"/>
      <c r="M102" s="3"/>
      <c r="N102" s="3"/>
      <c r="O102" s="3"/>
      <c r="P102" s="3"/>
      <c r="Q102" s="3"/>
      <c r="R102" s="3"/>
      <c r="S102" s="3"/>
      <c r="T102" s="3"/>
      <c r="U102" s="3"/>
      <c r="V102" s="3"/>
    </row>
    <row r="103" spans="2:22" x14ac:dyDescent="0.2">
      <c r="B103" s="67"/>
      <c r="C103" s="232"/>
      <c r="D103" s="232"/>
      <c r="E103" s="232"/>
      <c r="F103" s="232"/>
      <c r="G103" s="232"/>
      <c r="H103" s="232"/>
      <c r="I103" s="3"/>
      <c r="J103" s="3"/>
      <c r="K103" s="3"/>
      <c r="L103" s="3"/>
      <c r="M103" s="3"/>
      <c r="N103" s="3"/>
      <c r="O103" s="3"/>
      <c r="P103" s="3"/>
      <c r="Q103" s="3"/>
      <c r="R103" s="3"/>
      <c r="S103" s="3"/>
      <c r="T103" s="3"/>
      <c r="U103" s="3"/>
      <c r="V103" s="3"/>
    </row>
    <row r="104" spans="2:22" x14ac:dyDescent="0.2">
      <c r="B104" s="3"/>
      <c r="C104" s="3"/>
      <c r="D104" s="3"/>
      <c r="E104" s="3"/>
      <c r="F104" s="3"/>
      <c r="G104" s="3"/>
      <c r="H104" s="3"/>
      <c r="I104" s="67"/>
      <c r="J104" s="67"/>
      <c r="K104" s="67"/>
      <c r="L104" s="67"/>
      <c r="M104" s="67"/>
      <c r="N104" s="67"/>
      <c r="O104" s="67"/>
      <c r="P104" s="67"/>
      <c r="Q104" s="67"/>
      <c r="R104" s="67"/>
      <c r="S104" s="67"/>
      <c r="T104" s="67"/>
      <c r="U104" s="67"/>
      <c r="V104" s="67"/>
    </row>
    <row r="105" spans="2:22" x14ac:dyDescent="0.2">
      <c r="B105" s="3"/>
      <c r="C105" s="3"/>
      <c r="D105" s="3"/>
      <c r="E105" s="3"/>
      <c r="F105" s="3"/>
      <c r="G105" s="3"/>
      <c r="H105" s="3"/>
      <c r="I105" s="3"/>
      <c r="J105" s="3"/>
      <c r="K105" s="3"/>
      <c r="L105" s="3"/>
      <c r="M105" s="3"/>
      <c r="N105" s="3"/>
      <c r="O105" s="3"/>
      <c r="P105" s="3"/>
      <c r="Q105" s="3"/>
      <c r="R105" s="3"/>
      <c r="S105" s="3"/>
      <c r="T105" s="3"/>
      <c r="U105" s="3"/>
      <c r="V105" s="3"/>
    </row>
    <row r="106" spans="2:22" x14ac:dyDescent="0.2">
      <c r="B106" s="3"/>
      <c r="C106" s="67"/>
      <c r="D106" s="67"/>
      <c r="E106" s="67"/>
      <c r="F106" s="67"/>
      <c r="G106" s="67"/>
      <c r="H106" s="67"/>
      <c r="I106" s="3"/>
      <c r="J106" s="3"/>
      <c r="K106" s="3"/>
      <c r="L106" s="3"/>
      <c r="M106" s="3"/>
      <c r="N106" s="3"/>
      <c r="O106" s="3"/>
      <c r="P106" s="3"/>
      <c r="Q106" s="3"/>
      <c r="R106" s="3"/>
      <c r="S106" s="3"/>
      <c r="T106" s="3"/>
      <c r="U106" s="3"/>
      <c r="V106" s="3"/>
    </row>
    <row r="107" spans="2:22" x14ac:dyDescent="0.2">
      <c r="B107" s="67"/>
      <c r="C107" s="5"/>
      <c r="D107" s="5"/>
      <c r="E107" s="5"/>
      <c r="F107" s="5"/>
      <c r="G107" s="5"/>
      <c r="H107" s="5"/>
      <c r="I107" s="67"/>
      <c r="J107" s="67"/>
      <c r="K107" s="67"/>
      <c r="L107" s="67"/>
      <c r="M107" s="67"/>
      <c r="N107" s="67"/>
      <c r="O107" s="67"/>
      <c r="P107" s="67"/>
      <c r="Q107" s="67"/>
      <c r="R107" s="67"/>
      <c r="S107" s="67"/>
      <c r="T107" s="67"/>
      <c r="U107" s="67"/>
      <c r="V107" s="67"/>
    </row>
    <row r="108" spans="2:22" x14ac:dyDescent="0.2">
      <c r="B108" s="67"/>
      <c r="I108" s="3"/>
      <c r="J108" s="3"/>
      <c r="K108" s="3"/>
      <c r="L108" s="3"/>
      <c r="M108" s="3"/>
      <c r="N108" s="3"/>
      <c r="O108" s="3"/>
      <c r="P108" s="3"/>
      <c r="Q108" s="3"/>
      <c r="R108" s="3"/>
      <c r="S108" s="3"/>
      <c r="T108" s="3"/>
      <c r="U108" s="3"/>
      <c r="V108" s="3"/>
    </row>
    <row r="109" spans="2:22" x14ac:dyDescent="0.2">
      <c r="B109" s="67"/>
      <c r="I109" s="59"/>
    </row>
  </sheetData>
  <hyperlinks>
    <hyperlink ref="B1" location="Index!A1" display="Back to Index" xr:uid="{8420BF2C-173A-48BE-BCD0-EBBF3E79EB8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B1465-A922-459E-AEDE-CBA045DB53D2}">
  <sheetPr>
    <tabColor rgb="FFFF0000"/>
  </sheetPr>
  <dimension ref="B1:N37"/>
  <sheetViews>
    <sheetView showGridLines="0" zoomScale="85" zoomScaleNormal="85" workbookViewId="0">
      <selection activeCell="E17" sqref="E17"/>
    </sheetView>
  </sheetViews>
  <sheetFormatPr baseColWidth="10" defaultColWidth="8.5" defaultRowHeight="15" x14ac:dyDescent="0.2"/>
  <cols>
    <col min="1" max="1" width="1.83203125" customWidth="1"/>
    <col min="2" max="2" width="25.5" customWidth="1"/>
    <col min="3" max="3" width="28.5" customWidth="1"/>
    <col min="4" max="4" width="23" customWidth="1"/>
    <col min="5" max="5" width="14.5" customWidth="1"/>
    <col min="6" max="6" width="17.1640625" style="96" customWidth="1"/>
    <col min="7" max="7" width="18.83203125" style="96" customWidth="1"/>
    <col min="8" max="8" width="8.5" style="96" customWidth="1"/>
    <col min="9" max="9" width="12.83203125" style="96" customWidth="1"/>
    <col min="10" max="11" width="19.5" style="96" customWidth="1"/>
    <col min="12" max="12" width="20.83203125" style="96" customWidth="1"/>
    <col min="13" max="13" width="174.5" customWidth="1"/>
    <col min="14" max="14" width="16.5" bestFit="1" customWidth="1"/>
  </cols>
  <sheetData>
    <row r="1" spans="2:14" x14ac:dyDescent="0.2">
      <c r="B1" s="56" t="s">
        <v>37</v>
      </c>
    </row>
    <row r="2" spans="2:14" x14ac:dyDescent="0.2">
      <c r="B2" s="56"/>
    </row>
    <row r="3" spans="2:14" x14ac:dyDescent="0.2">
      <c r="B3" s="4" t="s">
        <v>611</v>
      </c>
      <c r="C3" s="146"/>
      <c r="D3" s="146"/>
      <c r="E3" s="146"/>
      <c r="F3" s="1445"/>
      <c r="G3" s="1445"/>
      <c r="H3" s="1445"/>
      <c r="I3" s="1445"/>
      <c r="J3" s="1445"/>
      <c r="K3" s="1445"/>
      <c r="L3" s="1445"/>
      <c r="M3" s="146"/>
    </row>
    <row r="4" spans="2:14" x14ac:dyDescent="0.2">
      <c r="E4" s="216"/>
      <c r="F4" s="216"/>
      <c r="G4" s="216"/>
      <c r="H4" s="216"/>
      <c r="I4" s="67"/>
      <c r="J4" s="67"/>
    </row>
    <row r="5" spans="2:14" x14ac:dyDescent="0.2">
      <c r="B5" s="188" t="s">
        <v>313</v>
      </c>
      <c r="C5" s="188" t="s">
        <v>612</v>
      </c>
      <c r="D5" s="188" t="s">
        <v>613</v>
      </c>
      <c r="E5" s="188" t="s">
        <v>614</v>
      </c>
      <c r="F5" s="188" t="s">
        <v>160</v>
      </c>
      <c r="G5" s="188" t="s">
        <v>615</v>
      </c>
      <c r="H5" s="188" t="s">
        <v>616</v>
      </c>
      <c r="I5" s="188" t="s">
        <v>617</v>
      </c>
      <c r="J5" s="188" t="s">
        <v>618</v>
      </c>
      <c r="K5" s="188" t="s">
        <v>619</v>
      </c>
      <c r="L5" s="188" t="s">
        <v>486</v>
      </c>
      <c r="M5" s="188" t="s">
        <v>620</v>
      </c>
    </row>
    <row r="6" spans="2:14" x14ac:dyDescent="0.2">
      <c r="B6" t="s">
        <v>621</v>
      </c>
      <c r="C6" t="s">
        <v>622</v>
      </c>
      <c r="D6" s="112" t="s">
        <v>320</v>
      </c>
      <c r="E6" s="112"/>
      <c r="F6" s="217">
        <f>(I6+K6)*L6</f>
        <v>0.32432432432432429</v>
      </c>
      <c r="G6" s="218">
        <v>2200</v>
      </c>
      <c r="H6" s="187">
        <v>111000</v>
      </c>
      <c r="I6" s="219">
        <f>(G6/H6)</f>
        <v>1.9819819819819819E-2</v>
      </c>
      <c r="J6" s="218">
        <v>800</v>
      </c>
      <c r="K6" s="86">
        <f>J6/H6</f>
        <v>7.2072072072072073E-3</v>
      </c>
      <c r="L6" s="220">
        <v>12</v>
      </c>
      <c r="M6" s="56" t="s">
        <v>623</v>
      </c>
    </row>
    <row r="7" spans="2:14" x14ac:dyDescent="0.2">
      <c r="B7" t="s">
        <v>624</v>
      </c>
      <c r="C7" t="s">
        <v>625</v>
      </c>
      <c r="D7" s="112" t="s">
        <v>321</v>
      </c>
      <c r="E7" s="112" t="s">
        <v>626</v>
      </c>
      <c r="F7" s="217">
        <f t="shared" ref="F7:F15" si="0">(I7+K7)*L7</f>
        <v>0.27316499999999999</v>
      </c>
      <c r="G7" s="218">
        <v>504</v>
      </c>
      <c r="H7" s="187">
        <v>10000</v>
      </c>
      <c r="I7" s="219">
        <f t="shared" ref="I7:I15" si="1">(G7/H7)</f>
        <v>5.04E-2</v>
      </c>
      <c r="J7" s="218">
        <v>42.33</v>
      </c>
      <c r="K7" s="86">
        <f t="shared" ref="K7:K15" si="2">J7/H7</f>
        <v>4.2329999999999998E-3</v>
      </c>
      <c r="L7" s="220">
        <v>5</v>
      </c>
      <c r="M7" s="56" t="s">
        <v>627</v>
      </c>
    </row>
    <row r="8" spans="2:14" x14ac:dyDescent="0.2">
      <c r="B8" t="s">
        <v>628</v>
      </c>
      <c r="C8" t="s">
        <v>629</v>
      </c>
      <c r="D8" s="112" t="s">
        <v>322</v>
      </c>
      <c r="E8" s="112"/>
      <c r="F8" s="217">
        <f t="shared" si="0"/>
        <v>0.55349999999999999</v>
      </c>
      <c r="G8" s="218">
        <v>2252.16</v>
      </c>
      <c r="H8" s="187">
        <v>5760</v>
      </c>
      <c r="I8" s="219">
        <f t="shared" si="1"/>
        <v>0.39099999999999996</v>
      </c>
      <c r="J8" s="218">
        <v>936</v>
      </c>
      <c r="K8" s="86">
        <f t="shared" si="2"/>
        <v>0.16250000000000001</v>
      </c>
      <c r="L8" s="220">
        <v>1</v>
      </c>
      <c r="M8" s="135" t="s">
        <v>630</v>
      </c>
    </row>
    <row r="9" spans="2:14" x14ac:dyDescent="0.2">
      <c r="B9" t="s">
        <v>631</v>
      </c>
      <c r="D9" s="112" t="s">
        <v>324</v>
      </c>
      <c r="E9" s="112"/>
      <c r="F9" s="217">
        <f t="shared" si="0"/>
        <v>2.4220000000000002</v>
      </c>
      <c r="G9" s="218">
        <v>1650</v>
      </c>
      <c r="H9" s="187">
        <v>5000</v>
      </c>
      <c r="I9" s="219">
        <f t="shared" si="1"/>
        <v>0.33</v>
      </c>
      <c r="J9" s="218">
        <v>80</v>
      </c>
      <c r="K9" s="86">
        <f t="shared" si="2"/>
        <v>1.6E-2</v>
      </c>
      <c r="L9" s="220">
        <v>7</v>
      </c>
      <c r="M9" s="56" t="s">
        <v>632</v>
      </c>
    </row>
    <row r="10" spans="2:14" x14ac:dyDescent="0.2">
      <c r="B10" t="s">
        <v>633</v>
      </c>
      <c r="D10" s="112" t="s">
        <v>325</v>
      </c>
      <c r="E10" s="112"/>
      <c r="F10" s="217">
        <f t="shared" si="0"/>
        <v>3.8254999999999999</v>
      </c>
      <c r="G10" s="218">
        <v>1050</v>
      </c>
      <c r="H10" s="187">
        <v>2000</v>
      </c>
      <c r="I10" s="219">
        <f t="shared" si="1"/>
        <v>0.52500000000000002</v>
      </c>
      <c r="J10" s="218">
        <v>43</v>
      </c>
      <c r="K10" s="86">
        <f t="shared" si="2"/>
        <v>2.1499999999999998E-2</v>
      </c>
      <c r="L10" s="220">
        <v>7</v>
      </c>
      <c r="M10" s="56" t="s">
        <v>634</v>
      </c>
    </row>
    <row r="11" spans="2:14" x14ac:dyDescent="0.2">
      <c r="B11" t="s">
        <v>635</v>
      </c>
      <c r="C11" t="s">
        <v>636</v>
      </c>
      <c r="D11" s="112" t="s">
        <v>326</v>
      </c>
      <c r="E11" s="112"/>
      <c r="F11" s="217">
        <f t="shared" si="0"/>
        <v>0.64595000000000002</v>
      </c>
      <c r="G11" s="218">
        <v>630</v>
      </c>
      <c r="H11" s="187">
        <v>1000</v>
      </c>
      <c r="I11" s="219">
        <f t="shared" si="1"/>
        <v>0.63</v>
      </c>
      <c r="J11" s="218">
        <v>15.95</v>
      </c>
      <c r="K11" s="86">
        <f t="shared" si="2"/>
        <v>1.5949999999999999E-2</v>
      </c>
      <c r="L11" s="220">
        <v>1</v>
      </c>
      <c r="M11" s="56" t="s">
        <v>637</v>
      </c>
    </row>
    <row r="12" spans="2:14" x14ac:dyDescent="0.2">
      <c r="B12" t="s">
        <v>631</v>
      </c>
      <c r="D12" s="112" t="s">
        <v>327</v>
      </c>
      <c r="E12" s="112"/>
      <c r="F12" s="217">
        <f t="shared" si="0"/>
        <v>2.7821479999999998</v>
      </c>
      <c r="G12" s="218">
        <v>13450</v>
      </c>
      <c r="H12" s="187">
        <v>5000</v>
      </c>
      <c r="I12" s="219">
        <f t="shared" si="1"/>
        <v>2.69</v>
      </c>
      <c r="J12" s="218">
        <v>460.74</v>
      </c>
      <c r="K12" s="86">
        <f t="shared" si="2"/>
        <v>9.2148000000000008E-2</v>
      </c>
      <c r="L12" s="220">
        <v>1</v>
      </c>
      <c r="M12" s="56" t="s">
        <v>638</v>
      </c>
    </row>
    <row r="13" spans="2:14" x14ac:dyDescent="0.2">
      <c r="B13" t="s">
        <v>639</v>
      </c>
      <c r="C13" t="s">
        <v>625</v>
      </c>
      <c r="D13" s="222" t="s">
        <v>332</v>
      </c>
      <c r="E13" s="222"/>
      <c r="F13" s="217">
        <f t="shared" si="0"/>
        <v>0.76</v>
      </c>
      <c r="G13" s="218">
        <v>2000</v>
      </c>
      <c r="H13" s="187">
        <v>5000</v>
      </c>
      <c r="I13" s="219">
        <f t="shared" si="1"/>
        <v>0.4</v>
      </c>
      <c r="J13" s="218">
        <v>1800</v>
      </c>
      <c r="K13" s="86">
        <f t="shared" si="2"/>
        <v>0.36</v>
      </c>
      <c r="L13" s="220">
        <v>1</v>
      </c>
      <c r="M13" s="56" t="s">
        <v>640</v>
      </c>
    </row>
    <row r="14" spans="2:14" x14ac:dyDescent="0.2">
      <c r="B14" t="s">
        <v>639</v>
      </c>
      <c r="D14" s="112" t="s">
        <v>333</v>
      </c>
      <c r="E14" s="112"/>
      <c r="F14" s="217">
        <f t="shared" si="0"/>
        <v>1.6659999999999999</v>
      </c>
      <c r="G14" s="218">
        <v>1480</v>
      </c>
      <c r="H14" s="187">
        <v>1000</v>
      </c>
      <c r="I14" s="219">
        <f t="shared" si="1"/>
        <v>1.48</v>
      </c>
      <c r="J14" s="218">
        <v>186</v>
      </c>
      <c r="K14" s="86">
        <f t="shared" si="2"/>
        <v>0.186</v>
      </c>
      <c r="L14" s="220">
        <v>1</v>
      </c>
      <c r="M14" s="56" t="s">
        <v>641</v>
      </c>
    </row>
    <row r="15" spans="2:14" x14ac:dyDescent="0.2">
      <c r="B15" t="s">
        <v>642</v>
      </c>
      <c r="C15" t="s">
        <v>643</v>
      </c>
      <c r="D15" s="112" t="s">
        <v>334</v>
      </c>
      <c r="E15" s="112"/>
      <c r="F15" s="217">
        <f t="shared" si="0"/>
        <v>0.13285</v>
      </c>
      <c r="G15" s="223">
        <v>3321.25</v>
      </c>
      <c r="H15" s="187">
        <v>25000</v>
      </c>
      <c r="I15" s="219">
        <f t="shared" si="1"/>
        <v>0.13285</v>
      </c>
      <c r="J15" s="218">
        <v>0</v>
      </c>
      <c r="K15" s="86">
        <f t="shared" si="2"/>
        <v>0</v>
      </c>
      <c r="L15" s="220">
        <v>1</v>
      </c>
      <c r="M15" s="56" t="s">
        <v>644</v>
      </c>
      <c r="N15" t="s">
        <v>494</v>
      </c>
    </row>
    <row r="16" spans="2:14" x14ac:dyDescent="0.2">
      <c r="B16" s="137" t="s">
        <v>645</v>
      </c>
      <c r="C16" s="137"/>
      <c r="D16" s="137"/>
      <c r="E16" s="137"/>
      <c r="F16" s="224">
        <f>SUM(F6:F15)</f>
        <v>13.385437324324323</v>
      </c>
      <c r="G16" s="224"/>
      <c r="H16" s="225"/>
      <c r="I16" s="225"/>
      <c r="J16" s="225"/>
      <c r="K16" s="225"/>
      <c r="L16" s="225"/>
      <c r="M16" s="137"/>
    </row>
    <row r="18" spans="2:13" x14ac:dyDescent="0.2">
      <c r="B18" t="s">
        <v>646</v>
      </c>
    </row>
    <row r="19" spans="2:13" x14ac:dyDescent="0.2">
      <c r="B19" s="37" t="s">
        <v>313</v>
      </c>
      <c r="C19" s="37" t="s">
        <v>612</v>
      </c>
      <c r="D19" s="1319" t="s">
        <v>613</v>
      </c>
      <c r="E19" s="188" t="s">
        <v>614</v>
      </c>
      <c r="F19" s="188" t="s">
        <v>160</v>
      </c>
      <c r="G19" s="188" t="s">
        <v>615</v>
      </c>
      <c r="H19" s="188" t="s">
        <v>616</v>
      </c>
      <c r="I19" s="188" t="s">
        <v>617</v>
      </c>
      <c r="J19" s="188" t="s">
        <v>618</v>
      </c>
      <c r="K19" s="188" t="s">
        <v>619</v>
      </c>
      <c r="L19" s="188" t="s">
        <v>486</v>
      </c>
      <c r="M19" s="188" t="s">
        <v>620</v>
      </c>
    </row>
    <row r="20" spans="2:13" x14ac:dyDescent="0.2">
      <c r="B20" t="s">
        <v>647</v>
      </c>
      <c r="C20" t="s">
        <v>625</v>
      </c>
      <c r="D20" s="112" t="s">
        <v>319</v>
      </c>
      <c r="E20" s="112" t="s">
        <v>648</v>
      </c>
      <c r="F20" s="217">
        <f t="shared" ref="F20:F24" si="3">(I20+K20)*L20</f>
        <v>8.6198805000000003E-2</v>
      </c>
      <c r="G20" s="218">
        <v>2220</v>
      </c>
      <c r="H20" s="1320">
        <v>600</v>
      </c>
      <c r="I20" s="219">
        <f>(G20/H20)</f>
        <v>3.7</v>
      </c>
      <c r="J20" s="218">
        <v>18.93</v>
      </c>
      <c r="K20" s="86">
        <f t="shared" ref="K20:K25" si="4">J20/H20</f>
        <v>3.1550000000000002E-2</v>
      </c>
      <c r="L20" s="220">
        <v>2.3099999999999999E-2</v>
      </c>
      <c r="M20" s="56" t="s">
        <v>649</v>
      </c>
    </row>
    <row r="21" spans="2:13" x14ac:dyDescent="0.2">
      <c r="B21" t="s">
        <v>650</v>
      </c>
      <c r="C21" t="s">
        <v>625</v>
      </c>
      <c r="D21" s="112" t="s">
        <v>323</v>
      </c>
      <c r="E21" s="112" t="s">
        <v>651</v>
      </c>
      <c r="F21" s="217">
        <f>(I21+K21)*L21</f>
        <v>1.0843920145190562</v>
      </c>
      <c r="G21" s="218">
        <v>670</v>
      </c>
      <c r="H21" s="187">
        <v>2204</v>
      </c>
      <c r="I21" s="219">
        <f>(G21/H21)</f>
        <v>0.3039927404718693</v>
      </c>
      <c r="J21" s="218">
        <v>525</v>
      </c>
      <c r="K21" s="86">
        <f>J21/H21</f>
        <v>0.2382032667876588</v>
      </c>
      <c r="L21" s="220">
        <v>2</v>
      </c>
      <c r="M21" s="56" t="s">
        <v>652</v>
      </c>
    </row>
    <row r="22" spans="2:13" x14ac:dyDescent="0.2">
      <c r="B22" t="s">
        <v>639</v>
      </c>
      <c r="C22" t="s">
        <v>625</v>
      </c>
      <c r="D22" s="221" t="s">
        <v>328</v>
      </c>
      <c r="E22" s="221" t="s">
        <v>653</v>
      </c>
      <c r="F22" s="724">
        <f t="shared" si="3"/>
        <v>1.5850320000000001E-2</v>
      </c>
      <c r="G22" s="218">
        <f>60*H22</f>
        <v>600</v>
      </c>
      <c r="H22" s="187">
        <v>10</v>
      </c>
      <c r="I22" s="219">
        <f t="shared" ref="I22:I25" si="5">(G22/H22)</f>
        <v>60</v>
      </c>
      <c r="J22" s="218">
        <v>0</v>
      </c>
      <c r="K22" s="86">
        <f t="shared" si="4"/>
        <v>0</v>
      </c>
      <c r="L22" s="220">
        <v>2.6417200000000002E-4</v>
      </c>
      <c r="M22" s="56" t="s">
        <v>654</v>
      </c>
    </row>
    <row r="23" spans="2:13" x14ac:dyDescent="0.2">
      <c r="B23" t="s">
        <v>655</v>
      </c>
      <c r="C23" t="s">
        <v>656</v>
      </c>
      <c r="D23" s="221" t="s">
        <v>329</v>
      </c>
      <c r="E23" s="221" t="s">
        <v>657</v>
      </c>
      <c r="F23" s="724">
        <f t="shared" si="3"/>
        <v>2.29625E-2</v>
      </c>
      <c r="G23" s="218">
        <v>110.22</v>
      </c>
      <c r="H23" s="187">
        <v>3</v>
      </c>
      <c r="I23" s="219">
        <f t="shared" si="5"/>
        <v>36.74</v>
      </c>
      <c r="J23" s="218">
        <v>0</v>
      </c>
      <c r="K23" s="86">
        <f t="shared" si="4"/>
        <v>0</v>
      </c>
      <c r="L23" s="220">
        <v>6.2500000000000001E-4</v>
      </c>
      <c r="M23" s="56" t="s">
        <v>658</v>
      </c>
    </row>
    <row r="24" spans="2:13" x14ac:dyDescent="0.2">
      <c r="B24" t="s">
        <v>659</v>
      </c>
      <c r="D24" s="112" t="s">
        <v>330</v>
      </c>
      <c r="E24" s="112" t="s">
        <v>660</v>
      </c>
      <c r="F24" s="217">
        <f t="shared" si="3"/>
        <v>0.58520000000000005</v>
      </c>
      <c r="G24" s="218">
        <v>731.5</v>
      </c>
      <c r="H24" s="187">
        <v>50</v>
      </c>
      <c r="I24" s="219">
        <f t="shared" si="5"/>
        <v>14.63</v>
      </c>
      <c r="J24" s="218">
        <v>0</v>
      </c>
      <c r="K24" s="86">
        <f t="shared" si="4"/>
        <v>0</v>
      </c>
      <c r="L24" s="220">
        <v>0.04</v>
      </c>
      <c r="M24" s="56" t="s">
        <v>661</v>
      </c>
    </row>
    <row r="25" spans="2:13" x14ac:dyDescent="0.2">
      <c r="B25" t="s">
        <v>662</v>
      </c>
      <c r="C25" t="s">
        <v>663</v>
      </c>
      <c r="D25" s="112" t="s">
        <v>331</v>
      </c>
      <c r="E25" s="112" t="s">
        <v>664</v>
      </c>
      <c r="F25" s="217">
        <f>(I25+K25)*L25</f>
        <v>3.9898305000000004E-3</v>
      </c>
      <c r="G25" s="218">
        <v>24.9</v>
      </c>
      <c r="H25" s="187">
        <v>10</v>
      </c>
      <c r="I25" s="219">
        <f t="shared" si="5"/>
        <v>2.4899999999999998</v>
      </c>
      <c r="J25" s="218">
        <v>5.95</v>
      </c>
      <c r="K25" s="86">
        <f t="shared" si="4"/>
        <v>0.59499999999999997</v>
      </c>
      <c r="L25" s="220">
        <v>1.2933E-3</v>
      </c>
      <c r="M25" s="56" t="s">
        <v>665</v>
      </c>
    </row>
    <row r="26" spans="2:13" x14ac:dyDescent="0.2">
      <c r="B26" s="137" t="s">
        <v>645</v>
      </c>
      <c r="C26" s="137"/>
      <c r="D26" s="137"/>
      <c r="E26" s="137"/>
      <c r="F26" s="224">
        <f>SUM(F20:F25)</f>
        <v>1.7985934700190562</v>
      </c>
      <c r="G26" s="224"/>
      <c r="H26" s="225"/>
      <c r="I26" s="225"/>
      <c r="J26" s="225"/>
      <c r="K26" s="225"/>
      <c r="L26" s="225"/>
      <c r="M26" s="137"/>
    </row>
    <row r="28" spans="2:13" x14ac:dyDescent="0.2">
      <c r="I28" s="1003"/>
    </row>
    <row r="29" spans="2:13" x14ac:dyDescent="0.2">
      <c r="B29" s="992"/>
      <c r="C29" s="7"/>
      <c r="D29" s="7"/>
      <c r="E29" s="7"/>
      <c r="F29" s="7"/>
      <c r="G29" s="7"/>
    </row>
    <row r="30" spans="2:13" x14ac:dyDescent="0.2">
      <c r="F30"/>
      <c r="G30"/>
    </row>
    <row r="31" spans="2:13" x14ac:dyDescent="0.2">
      <c r="C31" s="86"/>
      <c r="D31" s="86"/>
      <c r="E31" s="86"/>
      <c r="F31" s="86"/>
      <c r="G31" s="86"/>
    </row>
    <row r="32" spans="2:13" x14ac:dyDescent="0.2">
      <c r="F32"/>
      <c r="G32"/>
    </row>
    <row r="34" spans="6:6" x14ac:dyDescent="0.2">
      <c r="F34" s="219"/>
    </row>
    <row r="35" spans="6:6" x14ac:dyDescent="0.2">
      <c r="F35" s="219"/>
    </row>
    <row r="36" spans="6:6" x14ac:dyDescent="0.2">
      <c r="F36" s="219"/>
    </row>
    <row r="37" spans="6:6" x14ac:dyDescent="0.2">
      <c r="F37" s="219"/>
    </row>
  </sheetData>
  <hyperlinks>
    <hyperlink ref="M20" r:id="rId1" xr:uid="{F6EBB7EE-21FA-2A4B-B849-EE2042063C4F}"/>
    <hyperlink ref="M23" r:id="rId2" xr:uid="{B46B73AB-E53E-7549-9AAF-BF99723CE5E9}"/>
    <hyperlink ref="M25" r:id="rId3" xr:uid="{DF295AD7-70E0-9948-A5A7-AE2EA98487AA}"/>
    <hyperlink ref="M24" r:id="rId4" xr:uid="{2FF18936-95D0-584E-ABB3-5853A474696C}"/>
    <hyperlink ref="M22" r:id="rId5" xr:uid="{AF0E3065-A76F-C747-9BD8-368355E7A308}"/>
    <hyperlink ref="M7" r:id="rId6" xr:uid="{8F5D5339-2A92-7C4B-AB5B-0FF667682CBF}"/>
    <hyperlink ref="M6" r:id="rId7" xr:uid="{F640C42B-6A5F-CE4E-8380-635C13573367}"/>
    <hyperlink ref="M8" r:id="rId8" xr:uid="{8E415450-E8C2-7F44-A79A-2BE6B348EA16}"/>
    <hyperlink ref="M11" r:id="rId9" xr:uid="{A4DB581F-1DC7-7D4C-BC90-A1D63B28E6F6}"/>
    <hyperlink ref="M10" r:id="rId10" xr:uid="{DEE7AD62-D0F2-7F48-9EB2-DA4146B9B171}"/>
    <hyperlink ref="M9" r:id="rId11" xr:uid="{23CA4FFC-164F-9549-ACC2-6CD6A1E0EB91}"/>
    <hyperlink ref="M12" r:id="rId12" xr:uid="{D9048047-2478-8445-89EA-8A0BA7FA5050}"/>
    <hyperlink ref="M13" r:id="rId13" xr:uid="{A4043E85-89DC-B546-901E-929FC0F08E59}"/>
    <hyperlink ref="M15" r:id="rId14" display="https://www.te.com/usa-en/product-1825967-1.html?te_bu=Cor&amp;te_type=srch&amp;te_campaign=ggl_usa_cor-ggl-usa-srch-smbmktg-fy22-googlefeed_sma_sma-2210_2&amp;elqCampaignId=115724&amp;mkwid=MwXlQveT%7Cpcrid%7C386964346949%7Cpkw%7C%7Cpmt%7C%7Cpdv%7Cc%7Cslid%7C%7Cproductid%7C1825967-1%7Cpgrid%7C78782457963%7Cptaid%7Cpla-1398991370807%7C&amp;utm_content=MwXlQveT%7Cpcrid%7C386964346949%7Cpkw%7C%7Cpmt%7C%7Cpdv%7Cc%7Cslid%7C%7Cproductid%7C1825967-1%7Cpgrid%7C78782457963%7Cptaid%7Cpla-1398991370807&amp;gclid=CjwKCAjwoP6LBhBlEiwAvCcthAJ9Dwpz4udtbbzbnjxr6kwjpylgFoxoTto4VWMwhTlmHDNDLDGGKRoC0J0QAvD_BwE" xr:uid="{EBFF189E-4CB7-BE45-8022-AB0399C4DBC9}"/>
    <hyperlink ref="M14" r:id="rId15" xr:uid="{B7D692BC-71E8-084A-8392-5397C54A97CB}"/>
    <hyperlink ref="M21" r:id="rId16" xr:uid="{EC7977BD-8A3C-7047-A387-AA24314FD766}"/>
    <hyperlink ref="B1" location="Index!A1" display="Back to Index" xr:uid="{F2342D71-FE0B-49F2-9D0D-FC6530B043B4}"/>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8E065-5FB5-DE42-ADCF-D1FD58E2CCC2}">
  <sheetPr>
    <tabColor rgb="FFFF0000"/>
  </sheetPr>
  <dimension ref="B1:I46"/>
  <sheetViews>
    <sheetView showGridLines="0" topLeftCell="A3" zoomScaleNormal="100" workbookViewId="0">
      <selection activeCell="H20" sqref="H20"/>
    </sheetView>
  </sheetViews>
  <sheetFormatPr baseColWidth="10" defaultColWidth="9.1640625" defaultRowHeight="16" x14ac:dyDescent="0.2"/>
  <cols>
    <col min="1" max="1" width="1.83203125" style="214" customWidth="1"/>
    <col min="2" max="2" width="30.1640625" style="447" customWidth="1"/>
    <col min="3" max="3" width="40.5" style="214" customWidth="1"/>
    <col min="4" max="4" width="44.6640625" style="214" customWidth="1"/>
    <col min="5" max="5" width="34.5" style="214" customWidth="1"/>
    <col min="6" max="6" width="24.5" style="214" customWidth="1"/>
    <col min="7" max="7" width="36.6640625" style="214" customWidth="1"/>
    <col min="8" max="8" width="43.83203125" style="214" customWidth="1"/>
    <col min="9" max="16384" width="9.1640625" style="214"/>
  </cols>
  <sheetData>
    <row r="1" spans="2:9" ht="15" x14ac:dyDescent="0.2">
      <c r="B1" s="1452" t="s">
        <v>37</v>
      </c>
    </row>
    <row r="2" spans="2:9" ht="15" x14ac:dyDescent="0.2">
      <c r="B2" s="1446"/>
    </row>
    <row r="3" spans="2:9" ht="15" x14ac:dyDescent="0.2">
      <c r="B3" s="1448" t="s">
        <v>21</v>
      </c>
      <c r="C3" s="1447"/>
      <c r="D3" s="1447"/>
      <c r="E3" s="1447"/>
      <c r="F3" s="1447"/>
      <c r="G3" s="1447"/>
      <c r="H3" s="1447"/>
    </row>
    <row r="5" spans="2:9" s="447" customFormat="1" ht="18" x14ac:dyDescent="0.2">
      <c r="B5" s="446"/>
      <c r="C5" s="1449" t="s">
        <v>666</v>
      </c>
      <c r="D5" s="796" t="s">
        <v>667</v>
      </c>
      <c r="E5" s="797" t="s">
        <v>668</v>
      </c>
    </row>
    <row r="6" spans="2:9" s="447" customFormat="1" ht="26" x14ac:dyDescent="0.2">
      <c r="B6" s="449"/>
      <c r="C6" s="450"/>
      <c r="D6" s="451"/>
      <c r="E6" s="452"/>
    </row>
    <row r="7" spans="2:9" s="447" customFormat="1" ht="15.75" customHeight="1" x14ac:dyDescent="0.25">
      <c r="B7" s="1159" t="s">
        <v>669</v>
      </c>
      <c r="C7" s="1450"/>
      <c r="D7" s="1450"/>
      <c r="E7" s="1450"/>
      <c r="F7" s="1824" t="s">
        <v>670</v>
      </c>
      <c r="G7" s="1825"/>
      <c r="H7" s="1450"/>
    </row>
    <row r="8" spans="2:9" s="448" customFormat="1" x14ac:dyDescent="0.2">
      <c r="B8" s="453"/>
      <c r="C8" s="454" t="s">
        <v>671</v>
      </c>
      <c r="D8" s="454" t="s">
        <v>672</v>
      </c>
      <c r="E8" s="454" t="s">
        <v>673</v>
      </c>
      <c r="F8" s="454" t="s">
        <v>674</v>
      </c>
      <c r="G8" s="454" t="s">
        <v>675</v>
      </c>
      <c r="H8" s="455" t="s">
        <v>668</v>
      </c>
    </row>
    <row r="9" spans="2:9" x14ac:dyDescent="0.2">
      <c r="B9" s="456" t="s">
        <v>676</v>
      </c>
      <c r="C9" s="477">
        <f>'OM Assumptions'!C53</f>
        <v>14915.085972222223</v>
      </c>
      <c r="D9" s="457">
        <f>C9/52</f>
        <v>286.82857638888891</v>
      </c>
      <c r="E9" s="458"/>
      <c r="F9" s="459">
        <f>'OM Assumptions'!$C$73</f>
        <v>30.37449046820376</v>
      </c>
      <c r="G9" s="460" t="s">
        <v>38</v>
      </c>
      <c r="H9" s="461">
        <f>(D9*F9)/2</f>
        <v>4356.1359297663803</v>
      </c>
      <c r="I9" s="214" t="s">
        <v>38</v>
      </c>
    </row>
    <row r="10" spans="2:9" x14ac:dyDescent="0.2">
      <c r="B10" s="456" t="s">
        <v>677</v>
      </c>
      <c r="C10" s="458"/>
      <c r="D10" s="458"/>
      <c r="E10" s="457">
        <f>'OM Assumptions'!C35*'OM Assumptions'!C56*SQRT(2)</f>
        <v>864.02629399413183</v>
      </c>
      <c r="F10" s="459">
        <f>'OM Assumptions'!$C$73</f>
        <v>30.37449046820376</v>
      </c>
      <c r="G10" s="460" t="s">
        <v>38</v>
      </c>
      <c r="H10" s="461">
        <f>E10*F10</f>
        <v>26244.358431202178</v>
      </c>
      <c r="I10" s="214" t="s">
        <v>38</v>
      </c>
    </row>
    <row r="11" spans="2:9" x14ac:dyDescent="0.2">
      <c r="B11" s="456" t="s">
        <v>678</v>
      </c>
      <c r="C11" s="458"/>
      <c r="D11" s="457">
        <f>'Finished Goods '!D9*1</f>
        <v>286.82857638888891</v>
      </c>
      <c r="E11" s="458"/>
      <c r="F11" s="459">
        <f>'OM Assumptions'!$C$73</f>
        <v>30.37449046820376</v>
      </c>
      <c r="G11" s="459">
        <f>'OM Assumptions'!C69</f>
        <v>15.18403079434338</v>
      </c>
      <c r="H11" s="461">
        <f>(D11*(F11+G11)/2)</f>
        <v>6533.7428980596605</v>
      </c>
    </row>
    <row r="12" spans="2:9" ht="19" x14ac:dyDescent="0.2">
      <c r="B12" s="462" t="s">
        <v>679</v>
      </c>
      <c r="C12" s="463"/>
      <c r="D12" s="464"/>
      <c r="E12" s="464"/>
      <c r="F12" s="459">
        <f>'OM Assumptions'!$C$73</f>
        <v>30.37449046820376</v>
      </c>
      <c r="G12" s="465"/>
      <c r="H12" s="466" t="s">
        <v>680</v>
      </c>
    </row>
    <row r="13" spans="2:9" ht="21" x14ac:dyDescent="0.2">
      <c r="B13" s="467"/>
      <c r="G13" s="468" t="s">
        <v>567</v>
      </c>
      <c r="H13" s="469">
        <f>SUM(H9:H11)</f>
        <v>37134.237259028218</v>
      </c>
    </row>
    <row r="14" spans="2:9" x14ac:dyDescent="0.2">
      <c r="B14" s="470" t="s">
        <v>38</v>
      </c>
      <c r="C14" s="471" t="s">
        <v>38</v>
      </c>
      <c r="D14" s="472" t="s">
        <v>38</v>
      </c>
      <c r="E14" s="472" t="s">
        <v>38</v>
      </c>
      <c r="F14" s="214" t="s">
        <v>38</v>
      </c>
      <c r="H14" s="473"/>
    </row>
    <row r="15" spans="2:9" ht="17" thickBot="1" x14ac:dyDescent="0.25">
      <c r="C15" s="1451"/>
    </row>
    <row r="16" spans="2:9" ht="18.75" customHeight="1" thickBot="1" x14ac:dyDescent="0.3">
      <c r="B16" s="1159" t="s">
        <v>681</v>
      </c>
      <c r="C16" s="1450"/>
      <c r="D16" s="1450"/>
      <c r="E16" s="1450"/>
      <c r="F16" s="1824" t="s">
        <v>670</v>
      </c>
      <c r="G16" s="1825"/>
      <c r="H16" s="1450"/>
    </row>
    <row r="17" spans="2:8" ht="17" thickBot="1" x14ac:dyDescent="0.25">
      <c r="B17" s="453"/>
      <c r="C17" s="454" t="s">
        <v>671</v>
      </c>
      <c r="D17" s="454" t="s">
        <v>672</v>
      </c>
      <c r="E17" s="454" t="s">
        <v>673</v>
      </c>
      <c r="F17" s="454" t="s">
        <v>674</v>
      </c>
      <c r="G17" s="454" t="s">
        <v>675</v>
      </c>
      <c r="H17" s="455" t="s">
        <v>668</v>
      </c>
    </row>
    <row r="18" spans="2:8" x14ac:dyDescent="0.2">
      <c r="B18" s="456" t="s">
        <v>676</v>
      </c>
      <c r="C18" s="477">
        <f>'OM Assumptions'!D53</f>
        <v>29221.775916666662</v>
      </c>
      <c r="D18" s="457">
        <f>C18/52</f>
        <v>561.95722916666659</v>
      </c>
      <c r="E18" s="458"/>
      <c r="F18" s="459">
        <f>'OM Assumptions'!$D$73</f>
        <v>26.583200265098725</v>
      </c>
      <c r="G18" s="460" t="s">
        <v>38</v>
      </c>
      <c r="H18" s="461">
        <f>(D18*F18)/2</f>
        <v>7469.3107816787378</v>
      </c>
    </row>
    <row r="19" spans="2:8" x14ac:dyDescent="0.2">
      <c r="B19" s="456" t="s">
        <v>677</v>
      </c>
      <c r="C19" s="458"/>
      <c r="D19" s="458"/>
      <c r="E19" s="457">
        <f>'OM Assumptions'!D35*'OM Assumptions'!D56*SQRT(2)</f>
        <v>1692.8083952199083</v>
      </c>
      <c r="F19" s="459">
        <f>'OM Assumptions'!$D$73</f>
        <v>26.583200265098725</v>
      </c>
      <c r="G19" s="460" t="s">
        <v>38</v>
      </c>
      <c r="H19" s="461">
        <f>E19*F19</f>
        <v>45000.264580571216</v>
      </c>
    </row>
    <row r="20" spans="2:8" x14ac:dyDescent="0.2">
      <c r="B20" s="456" t="s">
        <v>678</v>
      </c>
      <c r="C20" s="458"/>
      <c r="D20" s="457">
        <f>'Finished Goods '!D18*1</f>
        <v>561.95722916666659</v>
      </c>
      <c r="E20" s="458"/>
      <c r="F20" s="459">
        <f>'OM Assumptions'!$D$73</f>
        <v>26.583200265098725</v>
      </c>
      <c r="G20" s="459">
        <f>'OM Assumptions'!D69</f>
        <v>15.18403079434338</v>
      </c>
      <c r="H20" s="461">
        <f>(D20*(F20+G20)/2)</f>
        <v>11735.69871806401</v>
      </c>
    </row>
    <row r="21" spans="2:8" ht="19" x14ac:dyDescent="0.2">
      <c r="B21" s="462" t="s">
        <v>679</v>
      </c>
      <c r="C21" s="463"/>
      <c r="D21" s="464"/>
      <c r="E21" s="464"/>
      <c r="F21" s="459">
        <f>'OM Assumptions'!$D$73</f>
        <v>26.583200265098725</v>
      </c>
      <c r="G21" s="465"/>
      <c r="H21" s="466" t="s">
        <v>680</v>
      </c>
    </row>
    <row r="22" spans="2:8" ht="21" x14ac:dyDescent="0.2">
      <c r="B22" s="467"/>
      <c r="G22" s="468" t="s">
        <v>567</v>
      </c>
      <c r="H22" s="469">
        <f>SUM(H18:H20)</f>
        <v>64205.27408031396</v>
      </c>
    </row>
    <row r="23" spans="2:8" x14ac:dyDescent="0.2">
      <c r="E23" s="93" t="s">
        <v>682</v>
      </c>
    </row>
    <row r="24" spans="2:8" ht="16.5" customHeight="1" x14ac:dyDescent="0.25">
      <c r="B24" s="1159" t="s">
        <v>683</v>
      </c>
      <c r="C24" s="1450"/>
      <c r="D24" s="1450"/>
      <c r="E24" s="1450"/>
      <c r="F24" s="1824" t="s">
        <v>670</v>
      </c>
      <c r="G24" s="1825"/>
      <c r="H24" s="1450"/>
    </row>
    <row r="25" spans="2:8" ht="24" customHeight="1" x14ac:dyDescent="0.2">
      <c r="B25" s="453"/>
      <c r="C25" s="454" t="s">
        <v>671</v>
      </c>
      <c r="D25" s="454" t="s">
        <v>672</v>
      </c>
      <c r="E25" s="454" t="s">
        <v>673</v>
      </c>
      <c r="F25" s="454" t="s">
        <v>674</v>
      </c>
      <c r="G25" s="454" t="s">
        <v>675</v>
      </c>
      <c r="H25" s="455" t="s">
        <v>668</v>
      </c>
    </row>
    <row r="26" spans="2:8" x14ac:dyDescent="0.2">
      <c r="B26" s="456" t="s">
        <v>676</v>
      </c>
      <c r="C26" s="477">
        <f>'OM Assumptions'!E53</f>
        <v>76980.570333333337</v>
      </c>
      <c r="D26" s="457">
        <f>C26/52</f>
        <v>1480.3955833333334</v>
      </c>
      <c r="E26" s="458"/>
      <c r="F26" s="459">
        <f>'OM Assumptions'!$E$73</f>
        <v>21.314549584023851</v>
      </c>
      <c r="G26" s="460" t="s">
        <v>38</v>
      </c>
      <c r="H26" s="461">
        <f>(D26*F26)/2</f>
        <v>15776.982532464124</v>
      </c>
    </row>
    <row r="27" spans="2:8" x14ac:dyDescent="0.2">
      <c r="B27" s="456" t="s">
        <v>677</v>
      </c>
      <c r="C27" s="458"/>
      <c r="D27" s="458"/>
      <c r="E27" s="457">
        <f>'OM Assumptions'!E35*'OM Assumptions'!E56*SQRT(2)</f>
        <v>4459.4605098849916</v>
      </c>
      <c r="F27" s="459">
        <f>'OM Assumptions'!$E$73</f>
        <v>21.314549584023851</v>
      </c>
      <c r="G27" s="460" t="s">
        <v>38</v>
      </c>
      <c r="H27" s="461">
        <f>E27*F27</f>
        <v>95051.392155939931</v>
      </c>
    </row>
    <row r="28" spans="2:8" x14ac:dyDescent="0.2">
      <c r="B28" s="456" t="s">
        <v>678</v>
      </c>
      <c r="C28" s="458"/>
      <c r="D28" s="457">
        <f>'Finished Goods '!D26*1</f>
        <v>1480.3955833333334</v>
      </c>
      <c r="E28" s="458"/>
      <c r="F28" s="459">
        <f>'OM Assumptions'!$E$73</f>
        <v>21.314549584023851</v>
      </c>
      <c r="G28" s="459">
        <f>'OM Assumptions'!E69</f>
        <v>15.18403079434338</v>
      </c>
      <c r="H28" s="461">
        <f>(D28*(F28+G28)/2)</f>
        <v>27016.168595035757</v>
      </c>
    </row>
    <row r="29" spans="2:8" ht="19" x14ac:dyDescent="0.2">
      <c r="B29" s="462" t="s">
        <v>679</v>
      </c>
      <c r="C29" s="463"/>
      <c r="D29" s="464"/>
      <c r="E29" s="464"/>
      <c r="F29" s="459">
        <f>'OM Assumptions'!$E$73</f>
        <v>21.314549584023851</v>
      </c>
      <c r="G29" s="465"/>
      <c r="H29" s="466" t="s">
        <v>680</v>
      </c>
    </row>
    <row r="30" spans="2:8" ht="21" x14ac:dyDescent="0.2">
      <c r="B30" s="467"/>
      <c r="G30" s="468" t="s">
        <v>567</v>
      </c>
      <c r="H30" s="469">
        <f>SUM(H26:H28)</f>
        <v>137844.54328343982</v>
      </c>
    </row>
    <row r="32" spans="2:8" ht="18.75" customHeight="1" x14ac:dyDescent="0.25">
      <c r="B32" s="1159" t="s">
        <v>684</v>
      </c>
      <c r="C32" s="1450"/>
      <c r="D32" s="1450"/>
      <c r="E32" s="1450"/>
      <c r="F32" s="1824" t="s">
        <v>670</v>
      </c>
      <c r="G32" s="1825"/>
      <c r="H32" s="1450"/>
    </row>
    <row r="33" spans="2:8" ht="25.5" customHeight="1" x14ac:dyDescent="0.2">
      <c r="B33" s="453"/>
      <c r="C33" s="454" t="s">
        <v>671</v>
      </c>
      <c r="D33" s="454" t="s">
        <v>672</v>
      </c>
      <c r="E33" s="454" t="s">
        <v>673</v>
      </c>
      <c r="F33" s="454" t="s">
        <v>674</v>
      </c>
      <c r="G33" s="454" t="s">
        <v>675</v>
      </c>
      <c r="H33" s="455" t="s">
        <v>668</v>
      </c>
    </row>
    <row r="34" spans="2:8" x14ac:dyDescent="0.2">
      <c r="B34" s="456" t="s">
        <v>676</v>
      </c>
      <c r="C34" s="477">
        <f>'OM Assumptions'!F53</f>
        <v>132101.18027331671</v>
      </c>
      <c r="D34" s="457">
        <f>C34/52</f>
        <v>2540.4073129483982</v>
      </c>
      <c r="E34" s="458"/>
      <c r="F34" s="459">
        <f>'OM Assumptions'!$F$73</f>
        <v>20.12383882033145</v>
      </c>
      <c r="G34" s="460" t="s">
        <v>38</v>
      </c>
      <c r="H34" s="461">
        <f>(D34*F34)/2</f>
        <v>25561.373651882441</v>
      </c>
    </row>
    <row r="35" spans="2:8" x14ac:dyDescent="0.2">
      <c r="B35" s="456" t="s">
        <v>677</v>
      </c>
      <c r="C35" s="458"/>
      <c r="D35" s="458"/>
      <c r="E35" s="457">
        <f>'OM Assumptions'!F35*'OM Assumptions'!F56*SQRT(2)</f>
        <v>7652.5803093844861</v>
      </c>
      <c r="F35" s="459">
        <f>'OM Assumptions'!$F$73</f>
        <v>20.12383882033145</v>
      </c>
      <c r="G35" s="460" t="s">
        <v>38</v>
      </c>
      <c r="H35" s="461">
        <f>E35*F35</f>
        <v>153999.29270569558</v>
      </c>
    </row>
    <row r="36" spans="2:8" x14ac:dyDescent="0.2">
      <c r="B36" s="456" t="s">
        <v>678</v>
      </c>
      <c r="C36" s="458"/>
      <c r="D36" s="457">
        <f>'Finished Goods '!D34*1</f>
        <v>2540.4073129483982</v>
      </c>
      <c r="E36" s="458"/>
      <c r="F36" s="459">
        <f>'OM Assumptions'!$F$73</f>
        <v>20.12383882033145</v>
      </c>
      <c r="G36" s="459">
        <f>'OM Assumptions'!F69</f>
        <v>15.18403079434338</v>
      </c>
      <c r="H36" s="461">
        <f>(D36*(F36+G36)/2)</f>
        <v>44848.18508687424</v>
      </c>
    </row>
    <row r="37" spans="2:8" ht="19" x14ac:dyDescent="0.2">
      <c r="B37" s="462" t="s">
        <v>679</v>
      </c>
      <c r="C37" s="463"/>
      <c r="D37" s="464"/>
      <c r="E37" s="464"/>
      <c r="F37" s="459">
        <f>'OM Assumptions'!$F$73</f>
        <v>20.12383882033145</v>
      </c>
      <c r="G37" s="465"/>
      <c r="H37" s="466" t="s">
        <v>680</v>
      </c>
    </row>
    <row r="38" spans="2:8" ht="21" x14ac:dyDescent="0.2">
      <c r="B38" s="467"/>
      <c r="G38" s="468" t="s">
        <v>567</v>
      </c>
      <c r="H38" s="469">
        <f>SUM(H34:H36)</f>
        <v>224408.85144445224</v>
      </c>
    </row>
    <row r="40" spans="2:8" ht="20.25" customHeight="1" x14ac:dyDescent="0.25">
      <c r="B40" s="1159" t="s">
        <v>685</v>
      </c>
      <c r="C40" s="1450"/>
      <c r="D40" s="1450"/>
      <c r="E40" s="1450"/>
      <c r="F40" s="1824" t="s">
        <v>670</v>
      </c>
      <c r="G40" s="1825"/>
      <c r="H40" s="1450"/>
    </row>
    <row r="41" spans="2:8" ht="23.25" customHeight="1" x14ac:dyDescent="0.2">
      <c r="B41" s="453"/>
      <c r="C41" s="454" t="s">
        <v>671</v>
      </c>
      <c r="D41" s="454" t="s">
        <v>672</v>
      </c>
      <c r="E41" s="454" t="s">
        <v>673</v>
      </c>
      <c r="F41" s="454" t="s">
        <v>674</v>
      </c>
      <c r="G41" s="454" t="s">
        <v>675</v>
      </c>
      <c r="H41" s="455" t="s">
        <v>668</v>
      </c>
    </row>
    <row r="42" spans="2:8" x14ac:dyDescent="0.2">
      <c r="B42" s="456" t="s">
        <v>676</v>
      </c>
      <c r="C42" s="477">
        <f>'OM Assumptions'!G53</f>
        <v>183840.07308333332</v>
      </c>
      <c r="D42" s="457">
        <f>C42/52</f>
        <v>3535.3860208333331</v>
      </c>
      <c r="E42" s="458"/>
      <c r="F42" s="459">
        <f>'OM Assumptions'!$G$73</f>
        <v>19.711400269214373</v>
      </c>
      <c r="G42" s="460" t="s">
        <v>38</v>
      </c>
      <c r="H42" s="461">
        <f>(D42*F42)/2</f>
        <v>34843.704481415443</v>
      </c>
    </row>
    <row r="43" spans="2:8" x14ac:dyDescent="0.2">
      <c r="B43" s="456" t="s">
        <v>677</v>
      </c>
      <c r="C43" s="458"/>
      <c r="D43" s="458"/>
      <c r="E43" s="457">
        <f>'OM Assumptions'!G35*'OM Assumptions'!G56*SQRT(2)</f>
        <v>10649.798286756813</v>
      </c>
      <c r="F43" s="459">
        <f>'OM Assumptions'!$G$73</f>
        <v>19.711400269214373</v>
      </c>
      <c r="G43" s="460" t="s">
        <v>38</v>
      </c>
      <c r="H43" s="461">
        <f>E43*F43</f>
        <v>209922.43681665702</v>
      </c>
    </row>
    <row r="44" spans="2:8" x14ac:dyDescent="0.2">
      <c r="B44" s="456" t="s">
        <v>678</v>
      </c>
      <c r="C44" s="458"/>
      <c r="D44" s="457">
        <f>'Finished Goods '!D42*1</f>
        <v>3535.3860208333331</v>
      </c>
      <c r="E44" s="458"/>
      <c r="F44" s="459">
        <f>'OM Assumptions'!$G$73</f>
        <v>19.711400269214373</v>
      </c>
      <c r="G44" s="459">
        <f>'OM Assumptions'!G69</f>
        <v>15.18403079434338</v>
      </c>
      <c r="H44" s="461">
        <f>(D44*(F44+G44)/2)</f>
        <v>61684.409586527661</v>
      </c>
    </row>
    <row r="45" spans="2:8" ht="19" x14ac:dyDescent="0.2">
      <c r="B45" s="462" t="s">
        <v>679</v>
      </c>
      <c r="C45" s="463"/>
      <c r="D45" s="464"/>
      <c r="E45" s="464"/>
      <c r="F45" s="459">
        <f>'OM Assumptions'!$G$73</f>
        <v>19.711400269214373</v>
      </c>
      <c r="G45" s="465"/>
      <c r="H45" s="466" t="s">
        <v>680</v>
      </c>
    </row>
    <row r="46" spans="2:8" ht="21" x14ac:dyDescent="0.2">
      <c r="B46" s="467"/>
      <c r="G46" s="468" t="s">
        <v>567</v>
      </c>
      <c r="H46" s="469">
        <f>SUM(H42:H44)</f>
        <v>306450.55088460015</v>
      </c>
    </row>
  </sheetData>
  <mergeCells count="5">
    <mergeCell ref="F7:G7"/>
    <mergeCell ref="F16:G16"/>
    <mergeCell ref="F24:G24"/>
    <mergeCell ref="F32:G32"/>
    <mergeCell ref="F40:G40"/>
  </mergeCells>
  <hyperlinks>
    <hyperlink ref="B1" location="Index!A1" display="Back to Index" xr:uid="{7A2B8565-30D6-42A1-9E12-609E28DF21CE}"/>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2CFEC-1F12-4046-A824-E166229B2D64}">
  <sheetPr published="0">
    <tabColor rgb="FFFF0000"/>
  </sheetPr>
  <dimension ref="B1:AG85"/>
  <sheetViews>
    <sheetView showGridLines="0" topLeftCell="A8" zoomScaleNormal="90" workbookViewId="0">
      <selection activeCell="B26" sqref="B26"/>
    </sheetView>
  </sheetViews>
  <sheetFormatPr baseColWidth="10" defaultColWidth="11.5" defaultRowHeight="15" x14ac:dyDescent="0.2"/>
  <cols>
    <col min="1" max="1" width="1.83203125" customWidth="1"/>
    <col min="2" max="2" width="16.6640625" customWidth="1"/>
    <col min="4" max="4" width="11.83203125" customWidth="1"/>
    <col min="5" max="15" width="10.1640625" customWidth="1"/>
    <col min="16" max="16" width="13.83203125" bestFit="1" customWidth="1"/>
    <col min="17" max="17" width="9.1640625" bestFit="1" customWidth="1"/>
    <col min="18" max="18" width="20" customWidth="1"/>
    <col min="19" max="19" width="32.1640625" customWidth="1"/>
    <col min="29" max="29" width="11.83203125" bestFit="1" customWidth="1"/>
  </cols>
  <sheetData>
    <row r="1" spans="2:33" x14ac:dyDescent="0.2">
      <c r="B1" s="56" t="s">
        <v>37</v>
      </c>
    </row>
    <row r="2" spans="2:33" x14ac:dyDescent="0.2">
      <c r="B2" s="5"/>
    </row>
    <row r="3" spans="2:33" x14ac:dyDescent="0.2">
      <c r="B3" s="1818" t="s">
        <v>686</v>
      </c>
      <c r="C3" s="1818"/>
      <c r="D3" s="1818"/>
      <c r="E3" s="1818"/>
      <c r="F3" s="1818"/>
      <c r="G3" s="1818"/>
      <c r="H3" s="1818"/>
      <c r="I3" s="1818"/>
      <c r="J3" s="1818"/>
      <c r="K3" s="1818"/>
      <c r="L3" s="1818"/>
      <c r="M3" s="1818"/>
      <c r="N3" s="1818"/>
      <c r="O3" s="1818"/>
      <c r="P3" s="1818"/>
      <c r="Q3" s="1818"/>
      <c r="R3" s="1818"/>
      <c r="S3" s="1818"/>
      <c r="T3" s="1818"/>
      <c r="U3" s="1818"/>
      <c r="V3" s="1818"/>
      <c r="W3" s="1818"/>
      <c r="X3" s="1818"/>
      <c r="Y3" s="1818"/>
      <c r="Z3" s="1818"/>
      <c r="AA3" s="1818"/>
      <c r="AB3" s="1818"/>
      <c r="AC3" s="1818"/>
      <c r="AD3" s="1818"/>
      <c r="AE3" s="1818"/>
      <c r="AF3" s="1818"/>
      <c r="AG3" s="1818"/>
    </row>
    <row r="4" spans="2:33" x14ac:dyDescent="0.2">
      <c r="B4" s="5"/>
    </row>
    <row r="5" spans="2:33" ht="16" thickBot="1" x14ac:dyDescent="0.25">
      <c r="B5" s="1826" t="s">
        <v>41</v>
      </c>
      <c r="C5" s="1826"/>
      <c r="D5" s="1826"/>
      <c r="E5" s="1826"/>
      <c r="F5" s="1826"/>
      <c r="G5" s="1826"/>
      <c r="H5" s="1826"/>
      <c r="I5" s="1826"/>
      <c r="J5" s="1826"/>
      <c r="K5" s="1826"/>
      <c r="L5" s="1826"/>
      <c r="M5" s="1826"/>
      <c r="N5" s="1826"/>
      <c r="O5" s="1826"/>
      <c r="P5" s="1826"/>
      <c r="R5" s="1326" t="s">
        <v>687</v>
      </c>
      <c r="S5" s="1335"/>
      <c r="T5" s="1336"/>
      <c r="V5" s="1324" t="str" cm="1">
        <f t="array" ref="V5:AG6">TRANSPOSE(V7:W18)</f>
        <v>Jan</v>
      </c>
      <c r="W5" s="1324" t="str">
        <v>Feb</v>
      </c>
      <c r="X5" s="1324" t="str">
        <v>Mar</v>
      </c>
      <c r="Y5" s="1324" t="str">
        <v>Apr</v>
      </c>
      <c r="Z5" s="1324" t="str">
        <v>May</v>
      </c>
      <c r="AA5" s="1324" t="str">
        <v>Jun</v>
      </c>
      <c r="AB5" s="1324" t="str">
        <v>Jul</v>
      </c>
      <c r="AC5" s="1324" t="str">
        <v>Aug</v>
      </c>
      <c r="AD5" s="1324" t="str">
        <v>Sep</v>
      </c>
      <c r="AE5" s="1324" t="str">
        <v>Oct</v>
      </c>
      <c r="AF5" s="1324" t="str">
        <v>Nov</v>
      </c>
      <c r="AG5" s="1324" t="str">
        <v>Dec</v>
      </c>
    </row>
    <row r="6" spans="2:33" ht="23" thickBot="1" x14ac:dyDescent="0.3">
      <c r="B6" s="1078" t="s">
        <v>688</v>
      </c>
      <c r="C6" s="1079"/>
      <c r="D6" s="1080">
        <v>1</v>
      </c>
      <c r="E6" s="1080">
        <v>2</v>
      </c>
      <c r="F6" s="1080">
        <v>3</v>
      </c>
      <c r="G6" s="1080">
        <v>4</v>
      </c>
      <c r="H6" s="1080">
        <v>5</v>
      </c>
      <c r="I6" s="1080">
        <v>6</v>
      </c>
      <c r="J6" s="1080">
        <v>7</v>
      </c>
      <c r="K6" s="1080">
        <v>8</v>
      </c>
      <c r="L6" s="1080">
        <v>9</v>
      </c>
      <c r="M6" s="1080">
        <v>10</v>
      </c>
      <c r="N6" s="1080">
        <v>11</v>
      </c>
      <c r="O6" s="1080">
        <v>12</v>
      </c>
      <c r="P6" s="1081" t="s">
        <v>160</v>
      </c>
      <c r="R6" s="1327" t="s">
        <v>689</v>
      </c>
      <c r="S6" s="1335"/>
      <c r="T6" s="1336"/>
      <c r="V6" s="1325">
        <v>4.3372021991447768E-2</v>
      </c>
      <c r="W6" s="1325">
        <v>4.2150274893097125E-2</v>
      </c>
      <c r="X6" s="1325">
        <v>5.0091631032376301E-2</v>
      </c>
      <c r="Y6" s="1325">
        <v>5.4367745876603542E-2</v>
      </c>
      <c r="Z6" s="1325">
        <v>6.6000000000000003E-2</v>
      </c>
      <c r="AA6" s="1325">
        <v>5.9399999999999994E-2</v>
      </c>
      <c r="AB6" s="1325">
        <v>6.4100000000000004E-2</v>
      </c>
      <c r="AC6" s="1325">
        <v>9.0300000000000005E-2</v>
      </c>
      <c r="AD6" s="1325">
        <v>6.9000000000000006E-2</v>
      </c>
      <c r="AE6" s="1325">
        <v>9.35E-2</v>
      </c>
      <c r="AF6" s="1325">
        <v>0.15281829999999999</v>
      </c>
      <c r="AG6" s="1325">
        <v>0.21489999999999998</v>
      </c>
    </row>
    <row r="7" spans="2:33" ht="23" x14ac:dyDescent="0.25">
      <c r="B7" s="1082" t="s">
        <v>690</v>
      </c>
      <c r="C7" s="1083"/>
      <c r="D7" s="1084">
        <f>$P$7*V6</f>
        <v>590.24984728161269</v>
      </c>
      <c r="E7" s="1084">
        <f>$P$7*W6</f>
        <v>573.62309102015877</v>
      </c>
      <c r="F7" s="1084">
        <f>$P$7*X6</f>
        <v>681.69700671960902</v>
      </c>
      <c r="G7" s="1084">
        <f t="shared" ref="G7:L7" si="0">$P$7*Y6+(6276.720201/6)</f>
        <v>1786.0106871346977</v>
      </c>
      <c r="H7" s="1084">
        <f t="shared" si="0"/>
        <v>1944.3140335000003</v>
      </c>
      <c r="I7" s="1084">
        <f t="shared" si="0"/>
        <v>1854.4946335</v>
      </c>
      <c r="J7" s="1084">
        <f t="shared" si="0"/>
        <v>1918.4569335000001</v>
      </c>
      <c r="K7" s="1084">
        <f t="shared" si="0"/>
        <v>2275.0127335000002</v>
      </c>
      <c r="L7" s="1084">
        <f t="shared" si="0"/>
        <v>1985.1410335</v>
      </c>
      <c r="M7" s="1084"/>
      <c r="N7" s="1084"/>
      <c r="O7" s="1084"/>
      <c r="P7" s="1085">
        <f>'FE MK OM Bases_Y1-Y5'!D16</f>
        <v>13609</v>
      </c>
      <c r="R7" s="1328"/>
      <c r="S7" s="1328"/>
      <c r="T7" s="719"/>
      <c r="V7" s="1321" t="s">
        <v>691</v>
      </c>
      <c r="W7" s="1322">
        <f>SUM(T9:T12)</f>
        <v>4.3372021991447768E-2</v>
      </c>
    </row>
    <row r="8" spans="2:33" ht="23" x14ac:dyDescent="0.25">
      <c r="B8" s="1086" t="s">
        <v>692</v>
      </c>
      <c r="C8" s="1087"/>
      <c r="D8" s="1088"/>
      <c r="E8" s="1089"/>
      <c r="F8" s="1089"/>
      <c r="G8" s="1089"/>
      <c r="H8" s="1089"/>
      <c r="I8" s="1089"/>
      <c r="J8" s="1089"/>
      <c r="K8" s="1089"/>
      <c r="L8" s="1089"/>
      <c r="M8" s="1089"/>
      <c r="N8" s="1089"/>
      <c r="O8" s="1090"/>
      <c r="P8" s="1091"/>
      <c r="R8" s="1329" t="s">
        <v>693</v>
      </c>
      <c r="S8" s="1329" t="s">
        <v>694</v>
      </c>
      <c r="T8" s="1330"/>
      <c r="V8" s="1321" t="s">
        <v>695</v>
      </c>
      <c r="W8" s="1322">
        <f>SUM(T13:T16)</f>
        <v>4.2150274893097125E-2</v>
      </c>
    </row>
    <row r="9" spans="2:33" ht="23" x14ac:dyDescent="0.25">
      <c r="B9" s="1092" t="s">
        <v>696</v>
      </c>
      <c r="C9" s="1087"/>
      <c r="D9" s="1093">
        <f>895-364+69</f>
        <v>600</v>
      </c>
      <c r="E9" s="1093">
        <f>1077-345+306</f>
        <v>1038</v>
      </c>
      <c r="F9" s="1093">
        <v>1496</v>
      </c>
      <c r="G9" s="1093">
        <v>1496</v>
      </c>
      <c r="H9" s="1093">
        <f>1496</f>
        <v>1496</v>
      </c>
      <c r="I9" s="1093">
        <f>1444</f>
        <v>1444</v>
      </c>
      <c r="J9" s="1093">
        <v>1201</v>
      </c>
      <c r="K9" s="1093">
        <f>1496</f>
        <v>1496</v>
      </c>
      <c r="L9" s="1093">
        <f>1496</f>
        <v>1496</v>
      </c>
      <c r="M9" s="1093">
        <v>1300</v>
      </c>
      <c r="N9" s="1093">
        <f>1000</f>
        <v>1000</v>
      </c>
      <c r="O9" s="1093">
        <f>1000</f>
        <v>1000</v>
      </c>
      <c r="P9" s="1091">
        <f>SUM(D9:O9)</f>
        <v>15063</v>
      </c>
      <c r="R9" s="1331">
        <v>43835</v>
      </c>
      <c r="S9" s="1328">
        <v>24</v>
      </c>
      <c r="T9" s="1332">
        <f t="shared" ref="T9:T25" si="1">S9/$S$61</f>
        <v>1.4660965180207697E-2</v>
      </c>
      <c r="V9" s="1321" t="s">
        <v>697</v>
      </c>
      <c r="W9" s="1322">
        <f>SUM(T17:T21)</f>
        <v>5.0091631032376301E-2</v>
      </c>
      <c r="AC9" s="58"/>
    </row>
    <row r="10" spans="2:33" ht="23" x14ac:dyDescent="0.25">
      <c r="B10" s="1086" t="s">
        <v>698</v>
      </c>
      <c r="C10" s="1087"/>
      <c r="D10" s="1094"/>
      <c r="E10" s="1095"/>
      <c r="F10" s="1095"/>
      <c r="G10" s="1095"/>
      <c r="H10" s="1095"/>
      <c r="I10" s="1095"/>
      <c r="J10" s="1095"/>
      <c r="K10" s="1095"/>
      <c r="L10" s="1095"/>
      <c r="M10" s="1095"/>
      <c r="N10" s="1095"/>
      <c r="O10" s="1096"/>
      <c r="P10" s="1091">
        <f>SUM(D10:O10)</f>
        <v>0</v>
      </c>
      <c r="R10" s="1331">
        <v>43842</v>
      </c>
      <c r="S10" s="1328">
        <v>15</v>
      </c>
      <c r="T10" s="1332">
        <f t="shared" si="1"/>
        <v>9.1631032376298105E-3</v>
      </c>
      <c r="V10" s="1321" t="s">
        <v>699</v>
      </c>
      <c r="W10" s="1322">
        <f>SUM(T22:T25)</f>
        <v>5.4367745876603542E-2</v>
      </c>
    </row>
    <row r="11" spans="2:33" ht="23" x14ac:dyDescent="0.25">
      <c r="B11" s="1086" t="s">
        <v>700</v>
      </c>
      <c r="C11" s="1087"/>
      <c r="D11" s="1094"/>
      <c r="E11" s="1095"/>
      <c r="F11" s="1095"/>
      <c r="G11" s="1095"/>
      <c r="H11" s="1095"/>
      <c r="I11" s="1097"/>
      <c r="J11" s="1095"/>
      <c r="K11" s="1095"/>
      <c r="L11" s="1095"/>
      <c r="M11" s="1095"/>
      <c r="N11" s="1095"/>
      <c r="O11" s="1096"/>
      <c r="P11" s="1091">
        <f>SUM(D11:O11)</f>
        <v>0</v>
      </c>
      <c r="R11" s="1331">
        <v>43849</v>
      </c>
      <c r="S11" s="1328">
        <v>20</v>
      </c>
      <c r="T11" s="1332">
        <f t="shared" si="1"/>
        <v>1.2217470983506415E-2</v>
      </c>
      <c r="U11" s="516"/>
      <c r="V11" s="1321" t="s">
        <v>701</v>
      </c>
      <c r="W11" s="1322">
        <f>SUM(T26:T30)</f>
        <v>6.6000000000000003E-2</v>
      </c>
    </row>
    <row r="12" spans="2:33" ht="23" x14ac:dyDescent="0.25">
      <c r="B12" s="1086" t="s">
        <v>702</v>
      </c>
      <c r="C12" s="1098"/>
      <c r="D12" s="1094"/>
      <c r="E12" s="1095"/>
      <c r="F12" s="1095"/>
      <c r="G12" s="1095"/>
      <c r="H12" s="1095"/>
      <c r="I12" s="1095"/>
      <c r="J12" s="1095"/>
      <c r="K12" s="1095"/>
      <c r="L12" s="1095"/>
      <c r="M12" s="1095"/>
      <c r="N12" s="1095"/>
      <c r="O12" s="1096"/>
      <c r="P12" s="1091">
        <f>SUM(D12:O12)</f>
        <v>0</v>
      </c>
      <c r="R12" s="1331">
        <v>43856</v>
      </c>
      <c r="S12" s="1328">
        <v>12</v>
      </c>
      <c r="T12" s="1332">
        <f t="shared" si="1"/>
        <v>7.3304825901038487E-3</v>
      </c>
      <c r="V12" s="1321" t="s">
        <v>703</v>
      </c>
      <c r="W12" s="1322">
        <f>SUM(T31:T34)</f>
        <v>5.9399999999999994E-2</v>
      </c>
    </row>
    <row r="13" spans="2:33" ht="23" x14ac:dyDescent="0.25">
      <c r="B13" s="1092" t="s">
        <v>704</v>
      </c>
      <c r="C13" s="1087"/>
      <c r="D13" s="1088">
        <f>SUM(D9:D12)-D7</f>
        <v>9.7501527183873122</v>
      </c>
      <c r="E13" s="1089">
        <f t="shared" ref="E13:O13" si="2">SUM(E9:E12)-E7</f>
        <v>464.37690897984123</v>
      </c>
      <c r="F13" s="1089">
        <f t="shared" si="2"/>
        <v>814.30299328039098</v>
      </c>
      <c r="G13" s="1089">
        <f t="shared" si="2"/>
        <v>-290.01068713469772</v>
      </c>
      <c r="H13" s="1089">
        <f t="shared" si="2"/>
        <v>-448.31403350000028</v>
      </c>
      <c r="I13" s="1089">
        <f t="shared" si="2"/>
        <v>-410.49463349999996</v>
      </c>
      <c r="J13" s="1089">
        <f t="shared" si="2"/>
        <v>-717.4569335000001</v>
      </c>
      <c r="K13" s="1089">
        <f t="shared" si="2"/>
        <v>-779.01273350000019</v>
      </c>
      <c r="L13" s="1089">
        <f t="shared" si="2"/>
        <v>-489.14103350000005</v>
      </c>
      <c r="M13" s="1089">
        <f t="shared" si="2"/>
        <v>1300</v>
      </c>
      <c r="N13" s="1089">
        <f t="shared" si="2"/>
        <v>1000</v>
      </c>
      <c r="O13" s="1090">
        <f t="shared" si="2"/>
        <v>1000</v>
      </c>
      <c r="P13" s="1091">
        <f>SUM(D13:O13)</f>
        <v>1454.0000003439211</v>
      </c>
      <c r="R13" s="1331">
        <v>43863</v>
      </c>
      <c r="S13" s="1328">
        <v>12</v>
      </c>
      <c r="T13" s="1332">
        <f t="shared" si="1"/>
        <v>7.3304825901038487E-3</v>
      </c>
      <c r="V13" s="1321" t="s">
        <v>705</v>
      </c>
      <c r="W13" s="1322">
        <f>SUM(T35:T38)</f>
        <v>6.4100000000000004E-2</v>
      </c>
    </row>
    <row r="14" spans="2:33" ht="23" x14ac:dyDescent="0.25">
      <c r="B14" s="1086" t="s">
        <v>275</v>
      </c>
      <c r="C14" s="1087"/>
      <c r="D14" s="1088"/>
      <c r="E14" s="1089"/>
      <c r="F14" s="1089"/>
      <c r="G14" s="1089"/>
      <c r="H14" s="1089"/>
      <c r="I14" s="1089"/>
      <c r="J14" s="1089"/>
      <c r="K14" s="1089"/>
      <c r="L14" s="1089"/>
      <c r="M14" s="1089"/>
      <c r="N14" s="1089"/>
      <c r="O14" s="1090"/>
      <c r="P14" s="1091"/>
      <c r="R14" s="1331">
        <v>43870</v>
      </c>
      <c r="S14" s="1328">
        <v>18</v>
      </c>
      <c r="T14" s="1332">
        <f t="shared" si="1"/>
        <v>1.0995723885155772E-2</v>
      </c>
      <c r="V14" s="1321" t="s">
        <v>706</v>
      </c>
      <c r="W14" s="1322">
        <f>SUM(T39:T43)</f>
        <v>9.0300000000000005E-2</v>
      </c>
      <c r="Y14" s="58"/>
    </row>
    <row r="15" spans="2:33" ht="23" x14ac:dyDescent="0.25">
      <c r="B15" s="1086" t="s">
        <v>707</v>
      </c>
      <c r="C15" s="1087"/>
      <c r="D15" s="1088">
        <f>C16</f>
        <v>1845.5699450213806</v>
      </c>
      <c r="E15" s="1089">
        <f t="shared" ref="E15:O15" si="3">D16</f>
        <v>1855.3200977397678</v>
      </c>
      <c r="F15" s="1089">
        <f t="shared" si="3"/>
        <v>2319.6970067196089</v>
      </c>
      <c r="G15" s="1089">
        <f t="shared" si="3"/>
        <v>3134</v>
      </c>
      <c r="H15" s="1089">
        <f t="shared" si="3"/>
        <v>2843.9893128653021</v>
      </c>
      <c r="I15" s="1089">
        <f t="shared" si="3"/>
        <v>2395.6752793653018</v>
      </c>
      <c r="J15" s="1089">
        <f t="shared" si="3"/>
        <v>1985.1806458653018</v>
      </c>
      <c r="K15" s="1089">
        <f t="shared" si="3"/>
        <v>1267.7237123653017</v>
      </c>
      <c r="L15" s="1089">
        <f t="shared" si="3"/>
        <v>488.71097886530151</v>
      </c>
      <c r="M15" s="1089">
        <f t="shared" si="3"/>
        <v>0</v>
      </c>
      <c r="N15" s="1089">
        <f>M16</f>
        <v>1299.5699453653015</v>
      </c>
      <c r="O15" s="1090">
        <f t="shared" si="3"/>
        <v>2299.5699453653015</v>
      </c>
      <c r="P15" s="1091"/>
      <c r="R15" s="1331">
        <v>43877</v>
      </c>
      <c r="S15" s="1328">
        <v>22</v>
      </c>
      <c r="T15" s="1332">
        <f t="shared" si="1"/>
        <v>1.3439218081857055E-2</v>
      </c>
      <c r="V15" s="1321" t="s">
        <v>708</v>
      </c>
      <c r="W15" s="1322">
        <f>SUM(T44:T47)</f>
        <v>6.9000000000000006E-2</v>
      </c>
    </row>
    <row r="16" spans="2:33" ht="23" x14ac:dyDescent="0.25">
      <c r="B16" s="1086" t="s">
        <v>709</v>
      </c>
      <c r="C16" s="1099">
        <f>SUM(D7:F7)</f>
        <v>1845.5699450213806</v>
      </c>
      <c r="D16" s="1088">
        <f>MAX(D15+D13-C18,0)</f>
        <v>1855.3200977397678</v>
      </c>
      <c r="E16" s="1089">
        <f>MAX(E15+E13-D18,0)</f>
        <v>2319.6970067196089</v>
      </c>
      <c r="F16" s="1089">
        <f t="shared" ref="F16:O16" si="4">MAX(F15+F13-E18,0)</f>
        <v>3134</v>
      </c>
      <c r="G16" s="1089">
        <f t="shared" si="4"/>
        <v>2843.9893128653021</v>
      </c>
      <c r="H16" s="1089">
        <f t="shared" si="4"/>
        <v>2395.6752793653018</v>
      </c>
      <c r="I16" s="1089">
        <f t="shared" si="4"/>
        <v>1985.1806458653018</v>
      </c>
      <c r="J16" s="1089">
        <f t="shared" si="4"/>
        <v>1267.7237123653017</v>
      </c>
      <c r="K16" s="1089">
        <f t="shared" si="4"/>
        <v>488.71097886530151</v>
      </c>
      <c r="L16" s="1089">
        <f t="shared" si="4"/>
        <v>0</v>
      </c>
      <c r="M16" s="1089">
        <f t="shared" si="4"/>
        <v>1299.5699453653015</v>
      </c>
      <c r="N16" s="1089">
        <f>MAX(N15+N13-M18,0)</f>
        <v>2299.5699453653015</v>
      </c>
      <c r="O16" s="1090">
        <f t="shared" si="4"/>
        <v>3299.5699453653015</v>
      </c>
      <c r="P16" s="1091"/>
      <c r="R16" s="1331">
        <v>43884</v>
      </c>
      <c r="S16" s="1328">
        <v>17</v>
      </c>
      <c r="T16" s="1332">
        <f t="shared" si="1"/>
        <v>1.0384850335980453E-2</v>
      </c>
      <c r="V16" s="1321" t="s">
        <v>710</v>
      </c>
      <c r="W16" s="1322">
        <f>SUM(T48:T51)</f>
        <v>9.35E-2</v>
      </c>
    </row>
    <row r="17" spans="2:25" ht="23" x14ac:dyDescent="0.25">
      <c r="B17" s="1086" t="s">
        <v>711</v>
      </c>
      <c r="C17" s="1087"/>
      <c r="D17" s="1088">
        <f t="shared" ref="D17:O17" si="5">(D15+D16)/2</f>
        <v>1850.4450213805742</v>
      </c>
      <c r="E17" s="1089">
        <f t="shared" si="5"/>
        <v>2087.5085522296886</v>
      </c>
      <c r="F17" s="1089">
        <f t="shared" si="5"/>
        <v>2726.8485033598045</v>
      </c>
      <c r="G17" s="1089">
        <f t="shared" si="5"/>
        <v>2988.994656432651</v>
      </c>
      <c r="H17" s="1089">
        <f t="shared" si="5"/>
        <v>2619.8322961153017</v>
      </c>
      <c r="I17" s="1089">
        <f t="shared" si="5"/>
        <v>2190.427962615302</v>
      </c>
      <c r="J17" s="1089">
        <f t="shared" si="5"/>
        <v>1626.4521791153018</v>
      </c>
      <c r="K17" s="1089">
        <f t="shared" si="5"/>
        <v>878.21734561530161</v>
      </c>
      <c r="L17" s="1089">
        <f t="shared" si="5"/>
        <v>244.35548943265076</v>
      </c>
      <c r="M17" s="1089">
        <f t="shared" si="5"/>
        <v>649.78497268265073</v>
      </c>
      <c r="N17" s="1100">
        <f t="shared" si="5"/>
        <v>1799.5699453653015</v>
      </c>
      <c r="O17" s="1090">
        <f t="shared" si="5"/>
        <v>2799.5699453653015</v>
      </c>
      <c r="P17" s="1091">
        <f>AVERAGE(D17:O17)</f>
        <v>1871.8339058091522</v>
      </c>
      <c r="R17" s="1331">
        <v>43891</v>
      </c>
      <c r="S17" s="1328">
        <v>21</v>
      </c>
      <c r="T17" s="1332">
        <f t="shared" si="1"/>
        <v>1.2828344532681736E-2</v>
      </c>
      <c r="V17" s="1321" t="s">
        <v>712</v>
      </c>
      <c r="W17" s="1322">
        <f>SUM(T57:T60)</f>
        <v>0.15281829999999999</v>
      </c>
    </row>
    <row r="18" spans="2:25" ht="24" thickBot="1" x14ac:dyDescent="0.3">
      <c r="B18" s="1101" t="s">
        <v>713</v>
      </c>
      <c r="C18" s="1102"/>
      <c r="D18" s="1103">
        <f>MAX(C18-D13-D15,0)</f>
        <v>0</v>
      </c>
      <c r="E18" s="1104">
        <f t="shared" ref="E18:N18" si="6">MAX(D18-E13-E15,0)</f>
        <v>0</v>
      </c>
      <c r="F18" s="1104">
        <f t="shared" si="6"/>
        <v>0</v>
      </c>
      <c r="G18" s="1105">
        <f t="shared" si="6"/>
        <v>0</v>
      </c>
      <c r="H18" s="1104">
        <f t="shared" si="6"/>
        <v>0</v>
      </c>
      <c r="I18" s="1104">
        <f t="shared" si="6"/>
        <v>0</v>
      </c>
      <c r="J18" s="1104">
        <f t="shared" si="6"/>
        <v>0</v>
      </c>
      <c r="K18" s="1104">
        <f t="shared" si="6"/>
        <v>0</v>
      </c>
      <c r="L18" s="1104">
        <f t="shared" si="6"/>
        <v>0.43005463469853566</v>
      </c>
      <c r="M18" s="1104">
        <f t="shared" si="6"/>
        <v>0</v>
      </c>
      <c r="N18" s="1104">
        <f t="shared" si="6"/>
        <v>0</v>
      </c>
      <c r="O18" s="1106">
        <f>MAX(N18-O13-O15,0)</f>
        <v>0</v>
      </c>
      <c r="P18" s="1091">
        <f>SUM(D18:O18)</f>
        <v>0.43005463469853566</v>
      </c>
      <c r="R18" s="1331">
        <v>43898</v>
      </c>
      <c r="S18" s="1328">
        <v>13</v>
      </c>
      <c r="T18" s="1332">
        <f t="shared" si="1"/>
        <v>7.9413561392791699E-3</v>
      </c>
      <c r="V18" s="1321" t="s">
        <v>714</v>
      </c>
      <c r="W18" s="1322">
        <f>SUM(T52:T56)</f>
        <v>0.21489999999999998</v>
      </c>
    </row>
    <row r="19" spans="2:25" ht="23" x14ac:dyDescent="0.25">
      <c r="B19" s="1092" t="s">
        <v>715</v>
      </c>
      <c r="C19" s="1107"/>
      <c r="D19" s="1108" t="s">
        <v>397</v>
      </c>
      <c r="E19" s="1108" t="s">
        <v>397</v>
      </c>
      <c r="F19" s="1108" t="s">
        <v>397</v>
      </c>
      <c r="G19" s="1108" t="s">
        <v>397</v>
      </c>
      <c r="H19" s="1108" t="s">
        <v>397</v>
      </c>
      <c r="I19" s="1108" t="s">
        <v>397</v>
      </c>
      <c r="J19" s="1108" t="s">
        <v>397</v>
      </c>
      <c r="K19" s="1108" t="s">
        <v>397</v>
      </c>
      <c r="L19" s="1108" t="s">
        <v>397</v>
      </c>
      <c r="M19" s="1108" t="s">
        <v>397</v>
      </c>
      <c r="N19" s="1108" t="s">
        <v>397</v>
      </c>
      <c r="O19" s="1108" t="s">
        <v>397</v>
      </c>
      <c r="P19" s="1110"/>
      <c r="R19" s="1331">
        <v>43905</v>
      </c>
      <c r="S19" s="1328">
        <v>17</v>
      </c>
      <c r="T19" s="1332">
        <f t="shared" si="1"/>
        <v>1.0384850335980453E-2</v>
      </c>
    </row>
    <row r="20" spans="2:25" ht="23" x14ac:dyDescent="0.25">
      <c r="B20" s="1092" t="s">
        <v>716</v>
      </c>
      <c r="C20" s="1111">
        <f>'OM Labor'!D13</f>
        <v>2.704476666666666</v>
      </c>
      <c r="D20" s="1112">
        <f t="shared" ref="D20:L20" si="7">D9*$C$20</f>
        <v>1622.6859999999997</v>
      </c>
      <c r="E20" s="1112">
        <f t="shared" si="7"/>
        <v>2807.2467799999995</v>
      </c>
      <c r="F20" s="1112">
        <f t="shared" si="7"/>
        <v>4045.8970933333321</v>
      </c>
      <c r="G20" s="1112">
        <f t="shared" si="7"/>
        <v>4045.8970933333321</v>
      </c>
      <c r="H20" s="1112">
        <f t="shared" si="7"/>
        <v>4045.8970933333321</v>
      </c>
      <c r="I20" s="1112">
        <f t="shared" si="7"/>
        <v>3905.2643066666656</v>
      </c>
      <c r="J20" s="1112">
        <f t="shared" si="7"/>
        <v>3248.0764766666657</v>
      </c>
      <c r="K20" s="1112">
        <f t="shared" si="7"/>
        <v>4045.8970933333321</v>
      </c>
      <c r="L20" s="1112">
        <f t="shared" si="7"/>
        <v>4045.8970933333321</v>
      </c>
      <c r="M20" s="1112">
        <f>M9*$C$20</f>
        <v>3515.8196666666659</v>
      </c>
      <c r="N20" s="1112">
        <f>N9*$C$20</f>
        <v>2704.476666666666</v>
      </c>
      <c r="O20" s="1112">
        <f>O9*$C$20</f>
        <v>2704.476666666666</v>
      </c>
      <c r="P20" s="1113">
        <f t="shared" ref="P20:P25" si="8">SUM(D20:O20)</f>
        <v>40737.532029999995</v>
      </c>
      <c r="R20" s="1331">
        <v>43912</v>
      </c>
      <c r="S20" s="1328">
        <v>15</v>
      </c>
      <c r="T20" s="1332">
        <f t="shared" si="1"/>
        <v>9.1631032376298105E-3</v>
      </c>
    </row>
    <row r="21" spans="2:25" ht="23" x14ac:dyDescent="0.25">
      <c r="B21" s="1092" t="s">
        <v>717</v>
      </c>
      <c r="C21" s="1111">
        <f>C20*1.5</f>
        <v>4.0567149999999987</v>
      </c>
      <c r="D21" s="1112">
        <f t="shared" ref="D21:M21" si="9">D10*$C$21</f>
        <v>0</v>
      </c>
      <c r="E21" s="1112">
        <f t="shared" si="9"/>
        <v>0</v>
      </c>
      <c r="F21" s="1112">
        <f t="shared" si="9"/>
        <v>0</v>
      </c>
      <c r="G21" s="1112">
        <f t="shared" si="9"/>
        <v>0</v>
      </c>
      <c r="H21" s="1112">
        <f t="shared" si="9"/>
        <v>0</v>
      </c>
      <c r="I21" s="1112">
        <f t="shared" si="9"/>
        <v>0</v>
      </c>
      <c r="J21" s="1112">
        <f t="shared" si="9"/>
        <v>0</v>
      </c>
      <c r="K21" s="1112">
        <f t="shared" si="9"/>
        <v>0</v>
      </c>
      <c r="L21" s="1112">
        <f t="shared" si="9"/>
        <v>0</v>
      </c>
      <c r="M21" s="1112">
        <f t="shared" si="9"/>
        <v>0</v>
      </c>
      <c r="N21" s="1112">
        <f>N10*$C$21</f>
        <v>0</v>
      </c>
      <c r="O21" s="1112">
        <f>O10*$C$21</f>
        <v>0</v>
      </c>
      <c r="P21" s="1113">
        <f t="shared" si="8"/>
        <v>0</v>
      </c>
      <c r="R21" s="1331">
        <v>43919</v>
      </c>
      <c r="S21" s="1328">
        <v>16</v>
      </c>
      <c r="T21" s="1332">
        <f t="shared" si="1"/>
        <v>9.7739767868051317E-3</v>
      </c>
    </row>
    <row r="22" spans="2:25" ht="23" x14ac:dyDescent="0.25">
      <c r="B22" s="1092" t="s">
        <v>718</v>
      </c>
      <c r="C22" s="1111"/>
      <c r="D22" s="1112">
        <f t="shared" ref="D22:O22" si="10">D11*$C$22</f>
        <v>0</v>
      </c>
      <c r="E22" s="1112">
        <f t="shared" si="10"/>
        <v>0</v>
      </c>
      <c r="F22" s="1112">
        <f t="shared" si="10"/>
        <v>0</v>
      </c>
      <c r="G22" s="1112">
        <f t="shared" si="10"/>
        <v>0</v>
      </c>
      <c r="H22" s="1112">
        <f t="shared" si="10"/>
        <v>0</v>
      </c>
      <c r="I22" s="1112">
        <f t="shared" si="10"/>
        <v>0</v>
      </c>
      <c r="J22" s="1112">
        <f t="shared" si="10"/>
        <v>0</v>
      </c>
      <c r="K22" s="1112">
        <f t="shared" si="10"/>
        <v>0</v>
      </c>
      <c r="L22" s="1112">
        <f t="shared" si="10"/>
        <v>0</v>
      </c>
      <c r="M22" s="1112">
        <f t="shared" si="10"/>
        <v>0</v>
      </c>
      <c r="N22" s="1112">
        <f t="shared" si="10"/>
        <v>0</v>
      </c>
      <c r="O22" s="1112">
        <f t="shared" si="10"/>
        <v>0</v>
      </c>
      <c r="P22" s="1113">
        <f t="shared" si="8"/>
        <v>0</v>
      </c>
      <c r="R22" s="1331">
        <v>43926</v>
      </c>
      <c r="S22" s="1328">
        <v>20</v>
      </c>
      <c r="T22" s="1332">
        <f t="shared" si="1"/>
        <v>1.2217470983506415E-2</v>
      </c>
    </row>
    <row r="23" spans="2:25" ht="23" x14ac:dyDescent="0.25">
      <c r="B23" s="1092" t="s">
        <v>719</v>
      </c>
      <c r="C23" s="1111">
        <v>0</v>
      </c>
      <c r="D23" s="1112">
        <f t="shared" ref="D23:O23" si="11">D12*$C$23</f>
        <v>0</v>
      </c>
      <c r="E23" s="1112">
        <f t="shared" si="11"/>
        <v>0</v>
      </c>
      <c r="F23" s="1112">
        <f t="shared" si="11"/>
        <v>0</v>
      </c>
      <c r="G23" s="1112">
        <f t="shared" si="11"/>
        <v>0</v>
      </c>
      <c r="H23" s="1112">
        <f t="shared" si="11"/>
        <v>0</v>
      </c>
      <c r="I23" s="1112">
        <f t="shared" si="11"/>
        <v>0</v>
      </c>
      <c r="J23" s="1112">
        <f t="shared" si="11"/>
        <v>0</v>
      </c>
      <c r="K23" s="1112">
        <f t="shared" si="11"/>
        <v>0</v>
      </c>
      <c r="L23" s="1112">
        <f t="shared" si="11"/>
        <v>0</v>
      </c>
      <c r="M23" s="1112">
        <f t="shared" si="11"/>
        <v>0</v>
      </c>
      <c r="N23" s="1112">
        <f t="shared" si="11"/>
        <v>0</v>
      </c>
      <c r="O23" s="1112">
        <f t="shared" si="11"/>
        <v>0</v>
      </c>
      <c r="P23" s="1113">
        <f t="shared" si="8"/>
        <v>0</v>
      </c>
      <c r="Q23" s="103"/>
      <c r="R23" s="1331">
        <v>43933</v>
      </c>
      <c r="S23" s="1328">
        <v>24</v>
      </c>
      <c r="T23" s="1332">
        <f t="shared" si="1"/>
        <v>1.4660965180207697E-2</v>
      </c>
      <c r="W23" s="1323"/>
      <c r="X23" s="64"/>
      <c r="Y23" s="64"/>
    </row>
    <row r="24" spans="2:25" ht="23" x14ac:dyDescent="0.25">
      <c r="B24" s="1092" t="s">
        <v>720</v>
      </c>
      <c r="C24" s="1111">
        <f>0.3/12*'OM Assumptions'!C73</f>
        <v>0.75936226170509391</v>
      </c>
      <c r="D24" s="1112">
        <f t="shared" ref="D24:O24" si="12">D$17*$C$24</f>
        <v>1405.1581165964838</v>
      </c>
      <c r="E24" s="1112">
        <f t="shared" si="12"/>
        <v>1585.1752155498625</v>
      </c>
      <c r="F24" s="1112">
        <f t="shared" si="12"/>
        <v>2070.6658468384517</v>
      </c>
      <c r="G24" s="1112">
        <f t="shared" si="12"/>
        <v>2269.7297425331381</v>
      </c>
      <c r="H24" s="1112">
        <f t="shared" si="12"/>
        <v>1989.4017776661649</v>
      </c>
      <c r="I24" s="1112">
        <f t="shared" si="12"/>
        <v>1663.3283317936366</v>
      </c>
      <c r="J24" s="1112">
        <f t="shared" si="12"/>
        <v>1235.0664052881741</v>
      </c>
      <c r="K24" s="1112">
        <f t="shared" si="12"/>
        <v>666.88510983507956</v>
      </c>
      <c r="L24" s="1112">
        <f t="shared" si="12"/>
        <v>185.55433711563285</v>
      </c>
      <c r="M24" s="1112">
        <f t="shared" si="12"/>
        <v>493.42218647828031</v>
      </c>
      <c r="N24" s="1112">
        <f t="shared" si="12"/>
        <v>1366.5255038091077</v>
      </c>
      <c r="O24" s="1112">
        <f t="shared" si="12"/>
        <v>2125.8877655142014</v>
      </c>
      <c r="P24" s="1113">
        <f t="shared" si="8"/>
        <v>17056.800339018213</v>
      </c>
      <c r="R24" s="1331">
        <v>43940</v>
      </c>
      <c r="S24" s="1328">
        <v>28</v>
      </c>
      <c r="T24" s="1332">
        <f t="shared" si="1"/>
        <v>1.7104459376908979E-2</v>
      </c>
    </row>
    <row r="25" spans="2:25" ht="23" x14ac:dyDescent="0.25">
      <c r="B25" s="1092" t="s">
        <v>721</v>
      </c>
      <c r="C25" s="1111"/>
      <c r="D25" s="1112">
        <f t="shared" ref="D25:O25" si="13">$D$18*$C$25</f>
        <v>0</v>
      </c>
      <c r="E25" s="1112">
        <f t="shared" si="13"/>
        <v>0</v>
      </c>
      <c r="F25" s="1112">
        <f t="shared" si="13"/>
        <v>0</v>
      </c>
      <c r="G25" s="1112">
        <f t="shared" si="13"/>
        <v>0</v>
      </c>
      <c r="H25" s="1112">
        <f t="shared" si="13"/>
        <v>0</v>
      </c>
      <c r="I25" s="1112">
        <f t="shared" si="13"/>
        <v>0</v>
      </c>
      <c r="J25" s="1112">
        <f t="shared" si="13"/>
        <v>0</v>
      </c>
      <c r="K25" s="1112">
        <f t="shared" si="13"/>
        <v>0</v>
      </c>
      <c r="L25" s="1112">
        <f t="shared" si="13"/>
        <v>0</v>
      </c>
      <c r="M25" s="1112">
        <f t="shared" si="13"/>
        <v>0</v>
      </c>
      <c r="N25" s="1112">
        <f t="shared" si="13"/>
        <v>0</v>
      </c>
      <c r="O25" s="1112">
        <f t="shared" si="13"/>
        <v>0</v>
      </c>
      <c r="P25" s="1113">
        <f t="shared" si="8"/>
        <v>0</v>
      </c>
      <c r="R25" s="1331">
        <v>43947</v>
      </c>
      <c r="S25" s="1328">
        <v>17</v>
      </c>
      <c r="T25" s="1332">
        <f t="shared" si="1"/>
        <v>1.0384850335980453E-2</v>
      </c>
    </row>
    <row r="26" spans="2:25" ht="24" thickBot="1" x14ac:dyDescent="0.3">
      <c r="B26" s="1092" t="s">
        <v>722</v>
      </c>
      <c r="C26" s="1107"/>
      <c r="D26" s="1114"/>
      <c r="E26" s="1115"/>
      <c r="F26" s="1115"/>
      <c r="G26" s="1115"/>
      <c r="H26" s="1115"/>
      <c r="I26" s="1115"/>
      <c r="J26" s="1115"/>
      <c r="K26" s="1115"/>
      <c r="L26" s="1115"/>
      <c r="M26" s="1115"/>
      <c r="N26" s="1115"/>
      <c r="O26" s="1115"/>
      <c r="P26" s="1116">
        <f>SUM(D26:O26)</f>
        <v>0</v>
      </c>
      <c r="R26" s="1331">
        <v>43954</v>
      </c>
      <c r="S26" s="1328">
        <v>16</v>
      </c>
      <c r="T26" s="1332">
        <v>9.7999999999999997E-3</v>
      </c>
    </row>
    <row r="27" spans="2:25" ht="24" thickBot="1" x14ac:dyDescent="0.3">
      <c r="B27" s="1078" t="s">
        <v>160</v>
      </c>
      <c r="C27" s="1079"/>
      <c r="D27" s="1117">
        <f>SUM(D20:D26)</f>
        <v>3027.8441165964832</v>
      </c>
      <c r="E27" s="1118">
        <f t="shared" ref="E27:O27" si="14">SUM(E20:E26)</f>
        <v>4392.421995549862</v>
      </c>
      <c r="F27" s="1118">
        <f t="shared" si="14"/>
        <v>6116.5629401717833</v>
      </c>
      <c r="G27" s="1118">
        <f t="shared" si="14"/>
        <v>6315.6268358664702</v>
      </c>
      <c r="H27" s="1118">
        <f t="shared" si="14"/>
        <v>6035.298870999497</v>
      </c>
      <c r="I27" s="1118">
        <f t="shared" si="14"/>
        <v>5568.5926384603026</v>
      </c>
      <c r="J27" s="1118">
        <f t="shared" si="14"/>
        <v>4483.14288195484</v>
      </c>
      <c r="K27" s="1118">
        <f>SUM(K20:K26)</f>
        <v>4712.7822031684118</v>
      </c>
      <c r="L27" s="1118">
        <f t="shared" si="14"/>
        <v>4231.4514304489649</v>
      </c>
      <c r="M27" s="1118">
        <f t="shared" si="14"/>
        <v>4009.2418531449462</v>
      </c>
      <c r="N27" s="1118">
        <f t="shared" si="14"/>
        <v>4071.0021704757737</v>
      </c>
      <c r="O27" s="1119">
        <f t="shared" si="14"/>
        <v>4830.3644321808679</v>
      </c>
      <c r="P27" s="1120">
        <f>SUM(P20:P26)</f>
        <v>57794.332369018208</v>
      </c>
      <c r="R27" s="1331">
        <v>43961</v>
      </c>
      <c r="S27" s="1328">
        <v>21</v>
      </c>
      <c r="T27" s="1332">
        <v>1.2800000000000001E-2</v>
      </c>
    </row>
    <row r="28" spans="2:25" ht="16" x14ac:dyDescent="0.2">
      <c r="B28" s="714"/>
      <c r="C28" s="52"/>
      <c r="D28" s="580"/>
      <c r="E28" s="580"/>
      <c r="F28" s="580"/>
      <c r="G28" s="580"/>
      <c r="H28" s="580"/>
      <c r="I28" s="580"/>
      <c r="J28" s="580"/>
      <c r="K28" s="580"/>
      <c r="L28" s="580"/>
      <c r="M28" s="580"/>
      <c r="N28" s="580"/>
      <c r="O28" s="580"/>
      <c r="P28" s="580"/>
      <c r="R28" s="1331">
        <v>43968</v>
      </c>
      <c r="S28" s="1328">
        <v>24</v>
      </c>
      <c r="T28" s="1332">
        <v>1.47E-2</v>
      </c>
      <c r="W28" s="64"/>
    </row>
    <row r="29" spans="2:25" ht="17" thickBot="1" x14ac:dyDescent="0.25">
      <c r="B29" s="1827" t="s">
        <v>45</v>
      </c>
      <c r="C29" s="1827"/>
      <c r="D29" s="1827"/>
      <c r="E29" s="1827"/>
      <c r="F29" s="1827"/>
      <c r="G29" s="1827"/>
      <c r="H29" s="1827"/>
      <c r="I29" s="1827"/>
      <c r="J29" s="1827"/>
      <c r="K29" s="1827"/>
      <c r="L29" s="1827"/>
      <c r="M29" s="1827"/>
      <c r="N29" s="1827"/>
      <c r="O29" s="1827"/>
      <c r="P29" s="1827"/>
      <c r="R29" s="1331">
        <v>43975</v>
      </c>
      <c r="S29" s="1328">
        <v>27</v>
      </c>
      <c r="T29" s="1332">
        <v>1.6500000000000001E-2</v>
      </c>
    </row>
    <row r="30" spans="2:25" ht="21" thickBot="1" x14ac:dyDescent="0.25">
      <c r="B30" s="1078" t="s">
        <v>688</v>
      </c>
      <c r="C30" s="1121"/>
      <c r="D30" s="1122">
        <v>1</v>
      </c>
      <c r="E30" s="1122">
        <v>2</v>
      </c>
      <c r="F30" s="1122">
        <v>3</v>
      </c>
      <c r="G30" s="1122">
        <v>4</v>
      </c>
      <c r="H30" s="1122">
        <v>5</v>
      </c>
      <c r="I30" s="1122">
        <v>6</v>
      </c>
      <c r="J30" s="1122">
        <v>7</v>
      </c>
      <c r="K30" s="1122">
        <v>8</v>
      </c>
      <c r="L30" s="1122">
        <v>9</v>
      </c>
      <c r="M30" s="1123">
        <v>10</v>
      </c>
      <c r="N30" s="1123">
        <v>11</v>
      </c>
      <c r="O30" s="1123">
        <v>12</v>
      </c>
      <c r="P30" s="1156" t="s">
        <v>160</v>
      </c>
      <c r="R30" s="1331">
        <v>43982</v>
      </c>
      <c r="S30" s="1328">
        <v>20</v>
      </c>
      <c r="T30" s="1332">
        <v>1.2200000000000001E-2</v>
      </c>
    </row>
    <row r="31" spans="2:25" ht="23" x14ac:dyDescent="0.25">
      <c r="B31" s="1082" t="s">
        <v>690</v>
      </c>
      <c r="C31" s="1124"/>
      <c r="D31" s="1125">
        <f>V6*'FE MK OM Bases_Y1-Y5'!$H$16+76199.48624/9</f>
        <v>15819.409558406078</v>
      </c>
      <c r="E31" s="1125">
        <f>W6*'FE MK OM Bases_Y1-Y5'!$H$16+76199.48624/9</f>
        <v>15612.288432316393</v>
      </c>
      <c r="F31" s="1125">
        <f>X6*'FE MK OM Bases_Y1-Y5'!$H$16+76199.48624/9</f>
        <v>16958.575751899356</v>
      </c>
      <c r="G31" s="1125">
        <f>Y6*'FE MK OM Bases_Y1-Y5'!$H$16+76199.48624/9</f>
        <v>17683.499693213256</v>
      </c>
      <c r="H31" s="1125">
        <f>Z6*'FE MK OM Bases_Y1-Y5'!$H$16+76199.48624/9</f>
        <v>19655.499934713156</v>
      </c>
      <c r="I31" s="1125">
        <f>AA6*'FE MK OM Bases_Y1-Y5'!$H$16+76199.48624/9</f>
        <v>18536.61089946406</v>
      </c>
      <c r="J31" s="1125">
        <f>AB6*'FE MK OM Bases_Y1-Y5'!$H$16+76199.48624/9</f>
        <v>19333.395515474782</v>
      </c>
      <c r="K31" s="1125">
        <f>AC6*'FE MK OM Bases_Y1-Y5'!$H$16+76199.48624/9</f>
        <v>23775.045928130276</v>
      </c>
      <c r="L31" s="1125">
        <f>AD6*'FE MK OM Bases_Y1-Y5'!$H$16+76199.48624/9</f>
        <v>20164.08585982638</v>
      </c>
      <c r="M31" s="1126"/>
      <c r="N31" s="1126"/>
      <c r="O31" s="1126"/>
      <c r="P31" s="1157">
        <f>'FE MK OM Bases_Y1-Y5'!H16</f>
        <v>169528.6417044081</v>
      </c>
      <c r="R31" s="1331">
        <v>43989</v>
      </c>
      <c r="S31" s="1328">
        <v>33</v>
      </c>
      <c r="T31" s="1332">
        <v>2.0199999999999999E-2</v>
      </c>
    </row>
    <row r="32" spans="2:25" ht="23" x14ac:dyDescent="0.25">
      <c r="B32" s="1086" t="s">
        <v>692</v>
      </c>
      <c r="C32" s="1127"/>
      <c r="D32" s="1128"/>
      <c r="E32" s="1129"/>
      <c r="F32" s="1129"/>
      <c r="G32" s="1129"/>
      <c r="H32" s="1129"/>
      <c r="I32" s="1129"/>
      <c r="J32" s="1129"/>
      <c r="K32" s="1129"/>
      <c r="L32" s="1129"/>
      <c r="M32" s="1089"/>
      <c r="N32" s="1089"/>
      <c r="O32" s="1090"/>
      <c r="P32" s="1130"/>
      <c r="R32" s="1331">
        <v>43996</v>
      </c>
      <c r="S32" s="1328">
        <v>15</v>
      </c>
      <c r="T32" s="1332">
        <v>9.1999999999999998E-3</v>
      </c>
    </row>
    <row r="33" spans="2:22" ht="23" x14ac:dyDescent="0.25">
      <c r="B33" s="1092" t="s">
        <v>696</v>
      </c>
      <c r="C33" s="1127"/>
      <c r="D33" s="1131">
        <v>4389.5171411667361</v>
      </c>
      <c r="E33" s="1131">
        <f>Capacity!$E$26</f>
        <v>14344.827586206897</v>
      </c>
      <c r="F33" s="1131">
        <f>Capacity!$E$26</f>
        <v>14344.827586206897</v>
      </c>
      <c r="G33" s="1131">
        <f>Capacity!$E$26</f>
        <v>14344.827586206897</v>
      </c>
      <c r="H33" s="1131">
        <f>Capacity!$E$26</f>
        <v>14344.827586206897</v>
      </c>
      <c r="I33" s="1131">
        <f>Capacity!$E$26</f>
        <v>14344.827586206897</v>
      </c>
      <c r="J33" s="1131">
        <f>Capacity!$E$26</f>
        <v>14344.827586206897</v>
      </c>
      <c r="K33" s="1131">
        <f>Capacity!$E$26</f>
        <v>14344.827586206897</v>
      </c>
      <c r="L33" s="1131">
        <f>Capacity!$E$26</f>
        <v>14344.827586206897</v>
      </c>
      <c r="M33" s="1132"/>
      <c r="N33" s="1132"/>
      <c r="O33" s="1133"/>
      <c r="P33" s="1130">
        <f>SUM(D33:O33)</f>
        <v>119148.13783082191</v>
      </c>
      <c r="R33" s="1331">
        <v>44003</v>
      </c>
      <c r="S33" s="1328">
        <v>23</v>
      </c>
      <c r="T33" s="1332">
        <v>1.41E-2</v>
      </c>
      <c r="V33" s="64"/>
    </row>
    <row r="34" spans="2:22" ht="23" x14ac:dyDescent="0.25">
      <c r="B34" s="1086" t="s">
        <v>698</v>
      </c>
      <c r="C34" s="1127"/>
      <c r="D34" s="1131"/>
      <c r="E34" s="1134"/>
      <c r="F34" s="1134"/>
      <c r="G34" s="1134"/>
      <c r="H34" s="1134"/>
      <c r="I34" s="1134"/>
      <c r="J34" s="1134"/>
      <c r="K34" s="1134"/>
      <c r="L34" s="1134"/>
      <c r="M34" s="1135"/>
      <c r="N34" s="1135"/>
      <c r="O34" s="1136"/>
      <c r="P34" s="1130">
        <f>SUM(D34:O34)</f>
        <v>0</v>
      </c>
      <c r="R34" s="1331">
        <v>44010</v>
      </c>
      <c r="S34" s="1328">
        <v>26</v>
      </c>
      <c r="T34" s="1332">
        <v>1.5900000000000001E-2</v>
      </c>
    </row>
    <row r="35" spans="2:22" ht="23" x14ac:dyDescent="0.25">
      <c r="B35" s="1086" t="s">
        <v>700</v>
      </c>
      <c r="C35" s="1127"/>
      <c r="D35" s="1131"/>
      <c r="E35" s="1134"/>
      <c r="F35" s="1134"/>
      <c r="G35" s="1134"/>
      <c r="H35" s="1134"/>
      <c r="I35" s="1134"/>
      <c r="J35" s="1134"/>
      <c r="K35" s="1134"/>
      <c r="L35" s="1134"/>
      <c r="M35" s="1135"/>
      <c r="N35" s="1135"/>
      <c r="O35" s="1136"/>
      <c r="P35" s="1130">
        <f>SUM(D35:O35)</f>
        <v>0</v>
      </c>
      <c r="R35" s="1331">
        <v>44017</v>
      </c>
      <c r="S35" s="1328">
        <v>22</v>
      </c>
      <c r="T35" s="1332">
        <v>1.34E-2</v>
      </c>
    </row>
    <row r="36" spans="2:22" ht="23" x14ac:dyDescent="0.25">
      <c r="B36" s="1086" t="s">
        <v>702</v>
      </c>
      <c r="C36" s="1127"/>
      <c r="D36" s="1131"/>
      <c r="E36" s="1134"/>
      <c r="F36" s="1134"/>
      <c r="G36" s="1134"/>
      <c r="H36" s="1134"/>
      <c r="I36" s="1134"/>
      <c r="J36" s="1134"/>
      <c r="K36" s="1134"/>
      <c r="L36" s="1134"/>
      <c r="M36" s="1135"/>
      <c r="N36" s="1135"/>
      <c r="O36" s="1136"/>
      <c r="P36" s="1130">
        <f>SUM(D36:O36)</f>
        <v>0</v>
      </c>
      <c r="R36" s="1331">
        <v>44024</v>
      </c>
      <c r="S36" s="1328">
        <v>20</v>
      </c>
      <c r="T36" s="1332">
        <v>1.2200000000000001E-2</v>
      </c>
    </row>
    <row r="37" spans="2:22" ht="23" x14ac:dyDescent="0.25">
      <c r="B37" s="1092" t="s">
        <v>704</v>
      </c>
      <c r="C37" s="1127"/>
      <c r="D37" s="1148">
        <f t="shared" ref="D37:O37" si="15">SUM(D33:D36)-D31</f>
        <v>-11429.892417239342</v>
      </c>
      <c r="E37" s="1149">
        <f t="shared" si="15"/>
        <v>-1267.4608461094958</v>
      </c>
      <c r="F37" s="1149">
        <f t="shared" si="15"/>
        <v>-2613.7481656924592</v>
      </c>
      <c r="G37" s="1149">
        <f t="shared" si="15"/>
        <v>-3338.6721070063595</v>
      </c>
      <c r="H37" s="1149">
        <f t="shared" si="15"/>
        <v>-5310.6723485062594</v>
      </c>
      <c r="I37" s="1149">
        <f t="shared" si="15"/>
        <v>-4191.7833132571632</v>
      </c>
      <c r="J37" s="1149">
        <f t="shared" si="15"/>
        <v>-4988.5679292678851</v>
      </c>
      <c r="K37" s="1149">
        <f t="shared" si="15"/>
        <v>-9430.2183419233788</v>
      </c>
      <c r="L37" s="1149">
        <f t="shared" si="15"/>
        <v>-5819.2582736194836</v>
      </c>
      <c r="M37" s="1089">
        <f t="shared" si="15"/>
        <v>0</v>
      </c>
      <c r="N37" s="1089">
        <f t="shared" si="15"/>
        <v>0</v>
      </c>
      <c r="O37" s="1090">
        <f t="shared" si="15"/>
        <v>0</v>
      </c>
      <c r="P37" s="1130">
        <f>SUM(D37:O37)</f>
        <v>-48390.273742621823</v>
      </c>
      <c r="R37" s="1331">
        <v>44031</v>
      </c>
      <c r="S37" s="1328">
        <v>28</v>
      </c>
      <c r="T37" s="1332">
        <v>1.7100000000000001E-2</v>
      </c>
    </row>
    <row r="38" spans="2:22" ht="23" x14ac:dyDescent="0.25">
      <c r="B38" s="1086" t="s">
        <v>275</v>
      </c>
      <c r="C38" s="1127"/>
      <c r="D38" s="1128"/>
      <c r="E38" s="1129"/>
      <c r="F38" s="1129"/>
      <c r="G38" s="1129"/>
      <c r="H38" s="1129"/>
      <c r="I38" s="1129"/>
      <c r="J38" s="1129"/>
      <c r="K38" s="1129"/>
      <c r="L38" s="1129"/>
      <c r="M38" s="1089"/>
      <c r="N38" s="1089"/>
      <c r="O38" s="1090"/>
      <c r="P38" s="1130"/>
      <c r="R38" s="1331">
        <v>44038</v>
      </c>
      <c r="S38" s="1328">
        <v>35</v>
      </c>
      <c r="T38" s="1332">
        <v>2.1399999999999999E-2</v>
      </c>
    </row>
    <row r="39" spans="2:22" ht="23" x14ac:dyDescent="0.25">
      <c r="B39" s="1086" t="s">
        <v>707</v>
      </c>
      <c r="C39" s="1127"/>
      <c r="D39" s="1128">
        <f t="shared" ref="D39:O39" si="16">C40</f>
        <v>48390.273742621823</v>
      </c>
      <c r="E39" s="1129">
        <f t="shared" si="16"/>
        <v>36960.381325382477</v>
      </c>
      <c r="F39" s="1129">
        <f t="shared" si="16"/>
        <v>35692.92047927298</v>
      </c>
      <c r="G39" s="1129">
        <f t="shared" si="16"/>
        <v>33079.172313580522</v>
      </c>
      <c r="H39" s="1129">
        <f t="shared" si="16"/>
        <v>29740.500206574165</v>
      </c>
      <c r="I39" s="1129">
        <f t="shared" si="16"/>
        <v>24429.827858067903</v>
      </c>
      <c r="J39" s="1129">
        <f t="shared" si="16"/>
        <v>20238.044544810742</v>
      </c>
      <c r="K39" s="1129">
        <f t="shared" si="16"/>
        <v>15249.476615542857</v>
      </c>
      <c r="L39" s="1129">
        <f t="shared" si="16"/>
        <v>5819.2582736194781</v>
      </c>
      <c r="M39" s="1089">
        <f t="shared" si="16"/>
        <v>0</v>
      </c>
      <c r="N39" s="1089">
        <f t="shared" si="16"/>
        <v>0</v>
      </c>
      <c r="O39" s="1090">
        <f t="shared" si="16"/>
        <v>0</v>
      </c>
      <c r="P39" s="1130"/>
      <c r="R39" s="1331">
        <v>44045</v>
      </c>
      <c r="S39" s="1328">
        <v>26</v>
      </c>
      <c r="T39" s="1332">
        <v>1.5900000000000001E-2</v>
      </c>
    </row>
    <row r="40" spans="2:22" ht="23" x14ac:dyDescent="0.25">
      <c r="B40" s="1086" t="s">
        <v>709</v>
      </c>
      <c r="C40" s="1137">
        <f>SUM(D31:F31)</f>
        <v>48390.273742621823</v>
      </c>
      <c r="D40" s="1128">
        <f t="shared" ref="D40:O40" si="17">MAX(D39+D37-C42,0)</f>
        <v>36960.381325382477</v>
      </c>
      <c r="E40" s="1129">
        <f t="shared" si="17"/>
        <v>35692.92047927298</v>
      </c>
      <c r="F40" s="1129">
        <f t="shared" si="17"/>
        <v>33079.172313580522</v>
      </c>
      <c r="G40" s="1129">
        <f t="shared" si="17"/>
        <v>29740.500206574165</v>
      </c>
      <c r="H40" s="1129">
        <f t="shared" si="17"/>
        <v>24429.827858067903</v>
      </c>
      <c r="I40" s="1129">
        <f t="shared" si="17"/>
        <v>20238.044544810742</v>
      </c>
      <c r="J40" s="1129">
        <f t="shared" si="17"/>
        <v>15249.476615542857</v>
      </c>
      <c r="K40" s="1129">
        <f t="shared" si="17"/>
        <v>5819.2582736194781</v>
      </c>
      <c r="L40" s="1129">
        <f t="shared" si="17"/>
        <v>0</v>
      </c>
      <c r="M40" s="1089">
        <f t="shared" si="17"/>
        <v>0</v>
      </c>
      <c r="N40" s="1089">
        <f t="shared" si="17"/>
        <v>0</v>
      </c>
      <c r="O40" s="1090">
        <f t="shared" si="17"/>
        <v>0</v>
      </c>
      <c r="P40" s="1130"/>
      <c r="R40" s="1331">
        <v>44052</v>
      </c>
      <c r="S40" s="1328">
        <v>30</v>
      </c>
      <c r="T40" s="1332">
        <v>1.83E-2</v>
      </c>
    </row>
    <row r="41" spans="2:22" ht="23" x14ac:dyDescent="0.25">
      <c r="B41" s="1086" t="s">
        <v>711</v>
      </c>
      <c r="C41" s="1127"/>
      <c r="D41" s="1128">
        <f t="shared" ref="D41:O41" si="18">(D39+D40)/2</f>
        <v>42675.32753400215</v>
      </c>
      <c r="E41" s="1129">
        <f t="shared" si="18"/>
        <v>36326.650902327732</v>
      </c>
      <c r="F41" s="1129">
        <f t="shared" si="18"/>
        <v>34386.046396426755</v>
      </c>
      <c r="G41" s="1129">
        <f t="shared" si="18"/>
        <v>31409.836260077343</v>
      </c>
      <c r="H41" s="1129">
        <f t="shared" si="18"/>
        <v>27085.164032321034</v>
      </c>
      <c r="I41" s="1129">
        <f t="shared" si="18"/>
        <v>22333.936201439323</v>
      </c>
      <c r="J41" s="1129">
        <f t="shared" si="18"/>
        <v>17743.7605801768</v>
      </c>
      <c r="K41" s="1129">
        <f t="shared" si="18"/>
        <v>10534.367444581167</v>
      </c>
      <c r="L41" s="1129">
        <f t="shared" si="18"/>
        <v>2909.6291368097391</v>
      </c>
      <c r="M41" s="1089">
        <f t="shared" si="18"/>
        <v>0</v>
      </c>
      <c r="N41" s="1100">
        <f t="shared" si="18"/>
        <v>0</v>
      </c>
      <c r="O41" s="1090">
        <f t="shared" si="18"/>
        <v>0</v>
      </c>
      <c r="P41" s="1130">
        <f>AVERAGE(D41:O41)</f>
        <v>18783.726540680171</v>
      </c>
      <c r="R41" s="1331">
        <v>44059</v>
      </c>
      <c r="S41" s="1328">
        <v>30</v>
      </c>
      <c r="T41" s="1332">
        <v>1.83E-2</v>
      </c>
    </row>
    <row r="42" spans="2:22" ht="24" thickBot="1" x14ac:dyDescent="0.3">
      <c r="B42" s="1101" t="s">
        <v>713</v>
      </c>
      <c r="C42" s="1138"/>
      <c r="D42" s="1103">
        <f t="shared" ref="D42:O42" si="19">MAX(C42-D37-D39,0)</f>
        <v>0</v>
      </c>
      <c r="E42" s="1104">
        <f t="shared" si="19"/>
        <v>0</v>
      </c>
      <c r="F42" s="1104">
        <f t="shared" si="19"/>
        <v>0</v>
      </c>
      <c r="G42" s="1104">
        <f t="shared" si="19"/>
        <v>0</v>
      </c>
      <c r="H42" s="1104">
        <f t="shared" si="19"/>
        <v>0</v>
      </c>
      <c r="I42" s="1104">
        <f t="shared" si="19"/>
        <v>0</v>
      </c>
      <c r="J42" s="1104">
        <f t="shared" si="19"/>
        <v>0</v>
      </c>
      <c r="K42" s="1104">
        <f t="shared" si="19"/>
        <v>0</v>
      </c>
      <c r="L42" s="1104">
        <f t="shared" si="19"/>
        <v>5.4569682106375694E-12</v>
      </c>
      <c r="M42" s="1104">
        <f t="shared" si="19"/>
        <v>5.4569682106375694E-12</v>
      </c>
      <c r="N42" s="1104">
        <f t="shared" si="19"/>
        <v>5.4569682106375694E-12</v>
      </c>
      <c r="O42" s="1106">
        <f t="shared" si="19"/>
        <v>5.4569682106375694E-12</v>
      </c>
      <c r="P42" s="1130">
        <f>SUM(D42:O42)</f>
        <v>2.1827872842550278E-11</v>
      </c>
      <c r="R42" s="1331">
        <v>44066</v>
      </c>
      <c r="S42" s="1328">
        <v>30</v>
      </c>
      <c r="T42" s="1332">
        <v>1.83E-2</v>
      </c>
    </row>
    <row r="43" spans="2:22" ht="23" x14ac:dyDescent="0.25">
      <c r="B43" s="1092" t="s">
        <v>715</v>
      </c>
      <c r="C43" s="1139"/>
      <c r="D43" s="1112" t="s">
        <v>397</v>
      </c>
      <c r="E43" s="1108" t="s">
        <v>397</v>
      </c>
      <c r="F43" s="1108" t="s">
        <v>397</v>
      </c>
      <c r="G43" s="1108" t="s">
        <v>397</v>
      </c>
      <c r="H43" s="1108" t="s">
        <v>397</v>
      </c>
      <c r="I43" s="1108" t="s">
        <v>397</v>
      </c>
      <c r="J43" s="1108" t="s">
        <v>397</v>
      </c>
      <c r="K43" s="1108" t="s">
        <v>397</v>
      </c>
      <c r="L43" s="1108" t="s">
        <v>397</v>
      </c>
      <c r="M43" s="1109"/>
      <c r="N43" s="1109"/>
      <c r="O43" s="1109"/>
      <c r="P43" s="1140"/>
      <c r="R43" s="1331">
        <v>44073</v>
      </c>
      <c r="S43" s="1328">
        <v>32</v>
      </c>
      <c r="T43" s="1332">
        <v>1.95E-2</v>
      </c>
    </row>
    <row r="44" spans="2:22" ht="23" x14ac:dyDescent="0.25">
      <c r="B44" s="1092" t="s">
        <v>716</v>
      </c>
      <c r="C44" s="1141">
        <f>'OM Labor'!H13</f>
        <v>3.1752512923972946</v>
      </c>
      <c r="D44" s="1155">
        <f>D33*$C$44</f>
        <v>13937.819975489758</v>
      </c>
      <c r="E44" s="1155">
        <f t="shared" ref="E44:O44" si="20">E33*$C$44</f>
        <v>45548.432332319811</v>
      </c>
      <c r="F44" s="1155">
        <f t="shared" si="20"/>
        <v>45548.432332319811</v>
      </c>
      <c r="G44" s="1155">
        <f t="shared" si="20"/>
        <v>45548.432332319811</v>
      </c>
      <c r="H44" s="1155">
        <f t="shared" si="20"/>
        <v>45548.432332319811</v>
      </c>
      <c r="I44" s="1155">
        <f t="shared" si="20"/>
        <v>45548.432332319811</v>
      </c>
      <c r="J44" s="1155">
        <f t="shared" si="20"/>
        <v>45548.432332319811</v>
      </c>
      <c r="K44" s="1155">
        <f t="shared" si="20"/>
        <v>45548.432332319811</v>
      </c>
      <c r="L44" s="1155">
        <f t="shared" si="20"/>
        <v>45548.432332319811</v>
      </c>
      <c r="M44" s="1142">
        <f t="shared" si="20"/>
        <v>0</v>
      </c>
      <c r="N44" s="1142">
        <f t="shared" si="20"/>
        <v>0</v>
      </c>
      <c r="O44" s="1142">
        <f t="shared" si="20"/>
        <v>0</v>
      </c>
      <c r="P44" s="1161">
        <f t="shared" ref="P44:P50" si="21">SUM(D44:O44)</f>
        <v>378325.27863404824</v>
      </c>
      <c r="R44" s="1331">
        <v>44080</v>
      </c>
      <c r="S44" s="1328">
        <v>25</v>
      </c>
      <c r="T44" s="1332">
        <v>1.5299999999999999E-2</v>
      </c>
    </row>
    <row r="45" spans="2:22" ht="23" x14ac:dyDescent="0.25">
      <c r="B45" s="1092" t="s">
        <v>717</v>
      </c>
      <c r="C45" s="1141">
        <f>C44*1.5</f>
        <v>4.7628769385959417</v>
      </c>
      <c r="D45" s="1154">
        <f>D34*$C$45</f>
        <v>0</v>
      </c>
      <c r="E45" s="1155">
        <f t="shared" ref="E45:O45" si="22">E34*$C$45</f>
        <v>0</v>
      </c>
      <c r="F45" s="1155">
        <f t="shared" si="22"/>
        <v>0</v>
      </c>
      <c r="G45" s="1155">
        <f t="shared" si="22"/>
        <v>0</v>
      </c>
      <c r="H45" s="1155">
        <f t="shared" si="22"/>
        <v>0</v>
      </c>
      <c r="I45" s="1155">
        <f t="shared" si="22"/>
        <v>0</v>
      </c>
      <c r="J45" s="1155">
        <f t="shared" si="22"/>
        <v>0</v>
      </c>
      <c r="K45" s="1155">
        <f t="shared" si="22"/>
        <v>0</v>
      </c>
      <c r="L45" s="1155">
        <f t="shared" si="22"/>
        <v>0</v>
      </c>
      <c r="M45" s="1142">
        <f t="shared" si="22"/>
        <v>0</v>
      </c>
      <c r="N45" s="1142">
        <f t="shared" si="22"/>
        <v>0</v>
      </c>
      <c r="O45" s="1142">
        <f t="shared" si="22"/>
        <v>0</v>
      </c>
      <c r="P45" s="1143">
        <f t="shared" si="21"/>
        <v>0</v>
      </c>
      <c r="R45" s="1331">
        <v>44087</v>
      </c>
      <c r="S45" s="1328">
        <v>18</v>
      </c>
      <c r="T45" s="1332">
        <v>1.0999999999999999E-2</v>
      </c>
    </row>
    <row r="46" spans="2:22" ht="23" x14ac:dyDescent="0.25">
      <c r="B46" s="1092" t="s">
        <v>718</v>
      </c>
      <c r="C46" s="1141">
        <f>2*C44</f>
        <v>6.3505025847945893</v>
      </c>
      <c r="D46" s="1154">
        <f>D35*$C$46</f>
        <v>0</v>
      </c>
      <c r="E46" s="1155">
        <f t="shared" ref="E46:O46" si="23">E35*$C$46</f>
        <v>0</v>
      </c>
      <c r="F46" s="1155">
        <f t="shared" si="23"/>
        <v>0</v>
      </c>
      <c r="G46" s="1155">
        <f t="shared" si="23"/>
        <v>0</v>
      </c>
      <c r="H46" s="1155">
        <f t="shared" si="23"/>
        <v>0</v>
      </c>
      <c r="I46" s="1155">
        <f t="shared" si="23"/>
        <v>0</v>
      </c>
      <c r="J46" s="1155">
        <f t="shared" si="23"/>
        <v>0</v>
      </c>
      <c r="K46" s="1155">
        <f t="shared" si="23"/>
        <v>0</v>
      </c>
      <c r="L46" s="1155">
        <f t="shared" si="23"/>
        <v>0</v>
      </c>
      <c r="M46" s="1142">
        <f t="shared" si="23"/>
        <v>0</v>
      </c>
      <c r="N46" s="1142">
        <f t="shared" si="23"/>
        <v>0</v>
      </c>
      <c r="O46" s="1142">
        <f t="shared" si="23"/>
        <v>0</v>
      </c>
      <c r="P46" s="1143">
        <f t="shared" si="21"/>
        <v>0</v>
      </c>
      <c r="R46" s="1331">
        <v>44094</v>
      </c>
      <c r="S46" s="1328">
        <v>39</v>
      </c>
      <c r="T46" s="1332">
        <v>2.3800000000000002E-2</v>
      </c>
    </row>
    <row r="47" spans="2:22" ht="23" x14ac:dyDescent="0.25">
      <c r="B47" s="1092" t="s">
        <v>719</v>
      </c>
      <c r="C47" s="1141"/>
      <c r="D47" s="1154">
        <f>D36*$C$47</f>
        <v>0</v>
      </c>
      <c r="E47" s="1155">
        <f t="shared" ref="E47:O47" si="24">E36*$C$47</f>
        <v>0</v>
      </c>
      <c r="F47" s="1155">
        <f t="shared" si="24"/>
        <v>0</v>
      </c>
      <c r="G47" s="1155">
        <f t="shared" si="24"/>
        <v>0</v>
      </c>
      <c r="H47" s="1155">
        <f t="shared" si="24"/>
        <v>0</v>
      </c>
      <c r="I47" s="1155">
        <f t="shared" si="24"/>
        <v>0</v>
      </c>
      <c r="J47" s="1155">
        <f t="shared" si="24"/>
        <v>0</v>
      </c>
      <c r="K47" s="1155">
        <f t="shared" si="24"/>
        <v>0</v>
      </c>
      <c r="L47" s="1155">
        <f t="shared" si="24"/>
        <v>0</v>
      </c>
      <c r="M47" s="1142">
        <f t="shared" si="24"/>
        <v>0</v>
      </c>
      <c r="N47" s="1142">
        <f t="shared" si="24"/>
        <v>0</v>
      </c>
      <c r="O47" s="1142">
        <f t="shared" si="24"/>
        <v>0</v>
      </c>
      <c r="P47" s="1143">
        <f t="shared" si="21"/>
        <v>0</v>
      </c>
      <c r="R47" s="1331">
        <v>44101</v>
      </c>
      <c r="S47" s="1328">
        <v>31</v>
      </c>
      <c r="T47" s="1332">
        <v>1.89E-2</v>
      </c>
    </row>
    <row r="48" spans="2:22" ht="23" x14ac:dyDescent="0.25">
      <c r="B48" s="1092" t="s">
        <v>720</v>
      </c>
      <c r="C48" s="1144">
        <f>0.3/12*'OM Assumptions'!G73</f>
        <v>0.4927850067303593</v>
      </c>
      <c r="D48" s="1155">
        <f>D41*$C$48</f>
        <v>21029.761566063538</v>
      </c>
      <c r="E48" s="1155">
        <f t="shared" ref="E48:L48" si="25">E41*$C$48</f>
        <v>17901.228909394984</v>
      </c>
      <c r="F48" s="1155">
        <f t="shared" si="25"/>
        <v>16944.928104893606</v>
      </c>
      <c r="G48" s="1155">
        <f t="shared" si="25"/>
        <v>15478.296372821696</v>
      </c>
      <c r="H48" s="1155">
        <f t="shared" si="25"/>
        <v>13347.162739960206</v>
      </c>
      <c r="I48" s="1155">
        <f t="shared" si="25"/>
        <v>11005.828901341692</v>
      </c>
      <c r="J48" s="1155">
        <f t="shared" si="25"/>
        <v>8743.8591769243085</v>
      </c>
      <c r="K48" s="1155">
        <f t="shared" si="25"/>
        <v>5191.1783320780078</v>
      </c>
      <c r="L48" s="1155">
        <f t="shared" si="25"/>
        <v>1433.8216137656368</v>
      </c>
      <c r="M48" s="1142">
        <f t="shared" ref="M48:O48" si="26">M37*$C$48</f>
        <v>0</v>
      </c>
      <c r="N48" s="1142">
        <f t="shared" si="26"/>
        <v>0</v>
      </c>
      <c r="O48" s="1142">
        <f t="shared" si="26"/>
        <v>0</v>
      </c>
      <c r="P48" s="1161">
        <f t="shared" si="21"/>
        <v>111076.06571724368</v>
      </c>
      <c r="R48" s="1331">
        <v>44108</v>
      </c>
      <c r="S48" s="1328">
        <v>34</v>
      </c>
      <c r="T48" s="1332">
        <v>2.0799999999999999E-2</v>
      </c>
    </row>
    <row r="49" spans="2:23" ht="23" x14ac:dyDescent="0.25">
      <c r="B49" s="1092" t="s">
        <v>721</v>
      </c>
      <c r="C49" s="1141"/>
      <c r="D49" s="1142">
        <f>D38*$C$49</f>
        <v>0</v>
      </c>
      <c r="E49" s="1142">
        <f t="shared" ref="E49:O49" si="27">E38*$C$49</f>
        <v>0</v>
      </c>
      <c r="F49" s="1142">
        <f t="shared" si="27"/>
        <v>0</v>
      </c>
      <c r="G49" s="1142">
        <f t="shared" si="27"/>
        <v>0</v>
      </c>
      <c r="H49" s="1142">
        <f t="shared" si="27"/>
        <v>0</v>
      </c>
      <c r="I49" s="1142">
        <f t="shared" si="27"/>
        <v>0</v>
      </c>
      <c r="J49" s="1142">
        <f t="shared" si="27"/>
        <v>0</v>
      </c>
      <c r="K49" s="1142">
        <f t="shared" si="27"/>
        <v>0</v>
      </c>
      <c r="L49" s="1142">
        <f t="shared" si="27"/>
        <v>0</v>
      </c>
      <c r="M49" s="1142">
        <f t="shared" si="27"/>
        <v>0</v>
      </c>
      <c r="N49" s="1142">
        <f t="shared" si="27"/>
        <v>0</v>
      </c>
      <c r="O49" s="1142">
        <f t="shared" si="27"/>
        <v>0</v>
      </c>
      <c r="P49" s="1143">
        <f t="shared" si="21"/>
        <v>0</v>
      </c>
      <c r="R49" s="1331">
        <v>44115</v>
      </c>
      <c r="S49" s="1328">
        <v>38</v>
      </c>
      <c r="T49" s="1332">
        <v>2.3199999999999998E-2</v>
      </c>
    </row>
    <row r="50" spans="2:23" ht="21" thickBot="1" x14ac:dyDescent="0.25">
      <c r="B50" s="1092" t="s">
        <v>722</v>
      </c>
      <c r="C50" s="1139"/>
      <c r="D50" s="1145"/>
      <c r="E50" s="1146"/>
      <c r="F50" s="1146"/>
      <c r="G50" s="1146"/>
      <c r="H50" s="1146"/>
      <c r="I50" s="1146"/>
      <c r="J50" s="1146"/>
      <c r="K50" s="1146"/>
      <c r="L50" s="1146"/>
      <c r="M50" s="1146"/>
      <c r="N50" s="1146"/>
      <c r="O50" s="1146"/>
      <c r="P50" s="1147">
        <f t="shared" si="21"/>
        <v>0</v>
      </c>
      <c r="R50" s="1331">
        <v>44122</v>
      </c>
      <c r="S50" s="1328">
        <v>45</v>
      </c>
      <c r="T50" s="1332">
        <v>2.75E-2</v>
      </c>
    </row>
    <row r="51" spans="2:23" ht="27" customHeight="1" thickBot="1" x14ac:dyDescent="0.3">
      <c r="B51" s="1078" t="s">
        <v>160</v>
      </c>
      <c r="C51" s="1121"/>
      <c r="D51" s="1150">
        <f>SUM(D44:D50)</f>
        <v>34967.5815415533</v>
      </c>
      <c r="E51" s="1153">
        <f t="shared" ref="E51:P51" si="28">SUM(E44:E50)</f>
        <v>63449.661241714799</v>
      </c>
      <c r="F51" s="1153">
        <f t="shared" si="28"/>
        <v>62493.360437213414</v>
      </c>
      <c r="G51" s="1153">
        <f t="shared" si="28"/>
        <v>61026.728705141504</v>
      </c>
      <c r="H51" s="1153">
        <f t="shared" si="28"/>
        <v>58895.595072280019</v>
      </c>
      <c r="I51" s="1153">
        <f t="shared" si="28"/>
        <v>56554.261233661506</v>
      </c>
      <c r="J51" s="1153">
        <f t="shared" si="28"/>
        <v>54292.291509244118</v>
      </c>
      <c r="K51" s="1153">
        <f t="shared" si="28"/>
        <v>50739.61066439782</v>
      </c>
      <c r="L51" s="1153">
        <f t="shared" si="28"/>
        <v>46982.253946085446</v>
      </c>
      <c r="M51" s="1151">
        <f t="shared" si="28"/>
        <v>0</v>
      </c>
      <c r="N51" s="1151">
        <f t="shared" si="28"/>
        <v>0</v>
      </c>
      <c r="O51" s="1152">
        <f t="shared" si="28"/>
        <v>0</v>
      </c>
      <c r="P51" s="1162">
        <f t="shared" si="28"/>
        <v>489401.34435129189</v>
      </c>
      <c r="R51" s="1331">
        <v>44129</v>
      </c>
      <c r="S51" s="1328">
        <v>36</v>
      </c>
      <c r="T51" s="1332">
        <v>2.1999999999999999E-2</v>
      </c>
    </row>
    <row r="52" spans="2:23" ht="21" x14ac:dyDescent="0.25">
      <c r="B52" s="714"/>
      <c r="C52" s="52"/>
      <c r="D52" s="1076"/>
      <c r="E52" s="1076"/>
      <c r="F52" s="1076"/>
      <c r="G52" s="1076"/>
      <c r="H52" s="1076"/>
      <c r="I52" s="1077"/>
      <c r="J52" s="1076"/>
      <c r="K52" s="1076"/>
      <c r="L52" s="1076"/>
      <c r="M52" s="798"/>
      <c r="N52" s="798"/>
      <c r="O52" s="798"/>
      <c r="P52" s="798"/>
      <c r="R52" s="1331">
        <v>44136</v>
      </c>
      <c r="S52" s="1328">
        <v>31</v>
      </c>
      <c r="T52" s="1332">
        <v>1.89E-2</v>
      </c>
    </row>
    <row r="53" spans="2:23" ht="16" x14ac:dyDescent="0.2">
      <c r="B53" s="714"/>
      <c r="C53" s="52"/>
      <c r="D53" s="798"/>
      <c r="E53" s="798"/>
      <c r="F53" s="798"/>
      <c r="G53" s="798"/>
      <c r="H53" s="798"/>
      <c r="I53" s="798"/>
      <c r="J53" s="798"/>
      <c r="K53" s="798"/>
      <c r="L53" s="798"/>
      <c r="M53" s="798"/>
      <c r="N53" s="798"/>
      <c r="O53" s="798"/>
      <c r="P53" s="798"/>
      <c r="R53" s="1331">
        <v>44143</v>
      </c>
      <c r="S53" s="1328">
        <v>49</v>
      </c>
      <c r="T53" s="1332">
        <v>2.9899999999999999E-2</v>
      </c>
    </row>
    <row r="54" spans="2:23" ht="16" x14ac:dyDescent="0.2">
      <c r="B54" s="714"/>
      <c r="C54" s="52"/>
      <c r="D54" s="935"/>
      <c r="E54" s="935"/>
      <c r="F54" s="935"/>
      <c r="G54" s="935"/>
      <c r="H54" s="935"/>
      <c r="I54" s="935"/>
      <c r="J54" s="935"/>
      <c r="K54" s="935"/>
      <c r="L54" s="935"/>
      <c r="M54" s="935"/>
      <c r="N54" s="935"/>
      <c r="O54" s="935"/>
      <c r="P54" s="579"/>
      <c r="R54" s="1331">
        <v>44150</v>
      </c>
      <c r="S54" s="1328">
        <v>86</v>
      </c>
      <c r="T54" s="1332">
        <v>5.2499999999999998E-2</v>
      </c>
    </row>
    <row r="55" spans="2:23" ht="16" x14ac:dyDescent="0.2">
      <c r="B55" s="714"/>
      <c r="C55" s="52"/>
      <c r="D55" s="802"/>
      <c r="E55" s="802"/>
      <c r="F55" s="802"/>
      <c r="G55" s="802"/>
      <c r="H55" s="803"/>
      <c r="I55" s="803"/>
      <c r="J55" s="802"/>
      <c r="K55" s="802"/>
      <c r="L55" s="802"/>
      <c r="M55" s="802"/>
      <c r="N55" s="802"/>
      <c r="O55" s="802"/>
      <c r="P55" s="804"/>
      <c r="R55" s="1331">
        <v>44157</v>
      </c>
      <c r="S55" s="1328">
        <v>86</v>
      </c>
      <c r="T55" s="1332">
        <v>5.2499999999999998E-2</v>
      </c>
    </row>
    <row r="56" spans="2:23" ht="16" x14ac:dyDescent="0.2">
      <c r="B56" s="714"/>
      <c r="C56" s="52"/>
      <c r="D56" s="804"/>
      <c r="E56" s="804"/>
      <c r="F56" s="804"/>
      <c r="G56" s="804"/>
      <c r="H56" s="804"/>
      <c r="I56" s="804"/>
      <c r="J56" s="804"/>
      <c r="K56" s="805"/>
      <c r="L56" s="804"/>
      <c r="M56" s="804"/>
      <c r="N56" s="804"/>
      <c r="O56" s="804"/>
      <c r="P56" s="804"/>
      <c r="R56" s="1331">
        <v>44164</v>
      </c>
      <c r="S56" s="1328">
        <v>100</v>
      </c>
      <c r="T56" s="1332">
        <v>6.1100000000000002E-2</v>
      </c>
    </row>
    <row r="57" spans="2:23" ht="16" x14ac:dyDescent="0.2">
      <c r="B57" s="936"/>
      <c r="C57" s="52"/>
      <c r="D57" s="806"/>
      <c r="E57" s="806"/>
      <c r="F57" s="806"/>
      <c r="G57" s="806"/>
      <c r="H57" s="806"/>
      <c r="I57" s="806"/>
      <c r="J57" s="806"/>
      <c r="K57" s="806"/>
      <c r="L57" s="806"/>
      <c r="M57" s="806"/>
      <c r="N57" s="806"/>
      <c r="O57" s="806"/>
      <c r="P57" s="804"/>
      <c r="R57" s="1331">
        <v>44171</v>
      </c>
      <c r="S57" s="1328">
        <v>94</v>
      </c>
      <c r="T57" s="1332">
        <v>5.74E-2</v>
      </c>
    </row>
    <row r="58" spans="2:23" ht="16" x14ac:dyDescent="0.2">
      <c r="B58" s="714"/>
      <c r="C58" s="52"/>
      <c r="D58" s="806"/>
      <c r="E58" s="806"/>
      <c r="F58" s="806"/>
      <c r="G58" s="806"/>
      <c r="H58" s="806"/>
      <c r="I58" s="806"/>
      <c r="J58" s="806"/>
      <c r="K58" s="806"/>
      <c r="L58" s="806"/>
      <c r="M58" s="806"/>
      <c r="N58" s="806"/>
      <c r="O58" s="806"/>
      <c r="P58" s="804"/>
      <c r="R58" s="1331">
        <v>44178</v>
      </c>
      <c r="S58" s="1328">
        <v>88</v>
      </c>
      <c r="T58" s="1332">
        <v>5.3800000000000001E-2</v>
      </c>
    </row>
    <row r="59" spans="2:23" ht="16" x14ac:dyDescent="0.2">
      <c r="B59" s="714"/>
      <c r="C59" s="52"/>
      <c r="D59" s="806"/>
      <c r="E59" s="806"/>
      <c r="F59" s="806"/>
      <c r="G59" s="806"/>
      <c r="H59" s="806"/>
      <c r="I59" s="806"/>
      <c r="J59" s="806"/>
      <c r="K59" s="806"/>
      <c r="L59" s="806"/>
      <c r="M59" s="806"/>
      <c r="N59" s="806"/>
      <c r="O59" s="806"/>
      <c r="P59" s="804"/>
      <c r="R59" s="1331">
        <v>44185</v>
      </c>
      <c r="S59" s="1328">
        <v>42</v>
      </c>
      <c r="T59" s="1332">
        <v>2.5700000000000001E-2</v>
      </c>
    </row>
    <row r="60" spans="2:23" ht="16" x14ac:dyDescent="0.2">
      <c r="B60" s="714"/>
      <c r="C60" s="52"/>
      <c r="D60" s="806"/>
      <c r="E60" s="806"/>
      <c r="F60" s="806"/>
      <c r="G60" s="806"/>
      <c r="H60" s="806"/>
      <c r="I60" s="806"/>
      <c r="J60" s="806"/>
      <c r="K60" s="806"/>
      <c r="L60" s="806"/>
      <c r="M60" s="806"/>
      <c r="N60" s="806"/>
      <c r="O60" s="806"/>
      <c r="P60" s="804"/>
      <c r="R60" s="1331">
        <v>44192</v>
      </c>
      <c r="S60" s="1328">
        <v>26</v>
      </c>
      <c r="T60" s="1332">
        <f>1.59%+0.00183%</f>
        <v>1.59183E-2</v>
      </c>
    </row>
    <row r="61" spans="2:23" ht="16" x14ac:dyDescent="0.2">
      <c r="B61" s="936"/>
      <c r="C61" s="52"/>
      <c r="D61" s="804"/>
      <c r="E61" s="804"/>
      <c r="F61" s="804"/>
      <c r="G61" s="804"/>
      <c r="H61" s="804"/>
      <c r="I61" s="804"/>
      <c r="J61" s="804"/>
      <c r="K61" s="804"/>
      <c r="L61" s="804"/>
      <c r="M61" s="804"/>
      <c r="N61" s="804"/>
      <c r="O61" s="804"/>
      <c r="P61" s="804"/>
      <c r="R61" s="1333" t="s">
        <v>723</v>
      </c>
      <c r="S61" s="1329">
        <v>1637</v>
      </c>
      <c r="T61" s="1334">
        <v>1</v>
      </c>
    </row>
    <row r="62" spans="2:23" x14ac:dyDescent="0.2">
      <c r="B62" s="714"/>
      <c r="C62" s="52"/>
      <c r="D62" s="804"/>
      <c r="E62" s="804"/>
      <c r="F62" s="804"/>
      <c r="G62" s="804"/>
      <c r="H62" s="804"/>
      <c r="I62" s="804"/>
      <c r="J62" s="804"/>
      <c r="K62" s="804"/>
      <c r="L62" s="804"/>
      <c r="M62" s="804"/>
      <c r="N62" s="804"/>
      <c r="O62" s="804"/>
      <c r="P62" s="804"/>
    </row>
    <row r="63" spans="2:23" x14ac:dyDescent="0.2">
      <c r="B63" s="714"/>
      <c r="C63" s="52"/>
      <c r="D63" s="804"/>
      <c r="E63" s="804"/>
      <c r="F63" s="804"/>
      <c r="G63" s="804"/>
      <c r="H63" s="804"/>
      <c r="I63" s="804"/>
      <c r="J63" s="804"/>
      <c r="K63" s="804"/>
      <c r="L63" s="804"/>
      <c r="M63" s="804"/>
      <c r="N63" s="804"/>
      <c r="O63" s="804"/>
      <c r="P63" s="804"/>
      <c r="V63" s="64"/>
      <c r="W63" s="809"/>
    </row>
    <row r="64" spans="2:23" ht="16" x14ac:dyDescent="0.2">
      <c r="B64" s="714"/>
      <c r="C64" s="52"/>
      <c r="D64" s="804"/>
      <c r="E64" s="804"/>
      <c r="F64" s="804"/>
      <c r="G64" s="804"/>
      <c r="H64" s="804"/>
      <c r="I64" s="804"/>
      <c r="J64" s="804"/>
      <c r="K64" s="804"/>
      <c r="L64" s="804"/>
      <c r="M64" s="804"/>
      <c r="N64" s="804"/>
      <c r="O64" s="804"/>
      <c r="P64" s="804"/>
      <c r="R64" s="515"/>
      <c r="S64" s="514"/>
      <c r="T64" s="64"/>
    </row>
    <row r="65" spans="2:20" ht="16" x14ac:dyDescent="0.2">
      <c r="B65" s="714"/>
      <c r="C65" s="52"/>
      <c r="D65" s="804"/>
      <c r="E65" s="804"/>
      <c r="F65" s="804"/>
      <c r="G65" s="804"/>
      <c r="H65" s="804"/>
      <c r="I65" s="804"/>
      <c r="J65" s="804"/>
      <c r="K65" s="804"/>
      <c r="L65" s="804"/>
      <c r="M65" s="804"/>
      <c r="N65" s="937"/>
      <c r="O65" s="804"/>
      <c r="P65" s="804"/>
      <c r="R65" s="515"/>
      <c r="S65" s="514"/>
      <c r="T65" s="64"/>
    </row>
    <row r="66" spans="2:20" ht="16" x14ac:dyDescent="0.2">
      <c r="B66" s="714"/>
      <c r="C66" s="52"/>
      <c r="D66" s="804"/>
      <c r="E66" s="804"/>
      <c r="F66" s="804"/>
      <c r="G66" s="804"/>
      <c r="H66" s="804"/>
      <c r="I66" s="804"/>
      <c r="J66" s="804"/>
      <c r="K66" s="804"/>
      <c r="L66" s="804"/>
      <c r="M66" s="804"/>
      <c r="N66" s="804"/>
      <c r="O66" s="804"/>
      <c r="P66" s="804"/>
      <c r="R66" s="515"/>
      <c r="S66" s="514"/>
      <c r="T66" s="64"/>
    </row>
    <row r="67" spans="2:20" ht="16" x14ac:dyDescent="0.2">
      <c r="B67" s="936"/>
      <c r="C67" s="52"/>
      <c r="D67" s="807"/>
      <c r="E67" s="807"/>
      <c r="F67" s="807"/>
      <c r="G67" s="807"/>
      <c r="H67" s="807"/>
      <c r="I67" s="807"/>
      <c r="J67" s="807"/>
      <c r="K67" s="807"/>
      <c r="L67" s="807"/>
      <c r="M67" s="807"/>
      <c r="N67" s="807"/>
      <c r="O67" s="807"/>
      <c r="P67" s="807"/>
      <c r="R67" s="515"/>
      <c r="S67" s="514"/>
      <c r="T67" s="64"/>
    </row>
    <row r="68" spans="2:20" ht="16" x14ac:dyDescent="0.2">
      <c r="B68" s="936"/>
      <c r="C68" s="808"/>
      <c r="D68" s="801"/>
      <c r="E68" s="801"/>
      <c r="F68" s="801"/>
      <c r="G68" s="801"/>
      <c r="H68" s="801"/>
      <c r="I68" s="801"/>
      <c r="J68" s="801"/>
      <c r="K68" s="801"/>
      <c r="L68" s="801"/>
      <c r="M68" s="801"/>
      <c r="N68" s="801"/>
      <c r="O68" s="801"/>
      <c r="P68" s="801"/>
      <c r="R68" s="515"/>
      <c r="S68" s="514"/>
      <c r="T68" s="64"/>
    </row>
    <row r="69" spans="2:20" ht="16" x14ac:dyDescent="0.2">
      <c r="B69" s="936"/>
      <c r="C69" s="808"/>
      <c r="D69" s="801"/>
      <c r="E69" s="801"/>
      <c r="F69" s="801"/>
      <c r="G69" s="801"/>
      <c r="H69" s="801"/>
      <c r="I69" s="801"/>
      <c r="J69" s="801"/>
      <c r="K69" s="801"/>
      <c r="L69" s="801"/>
      <c r="M69" s="801"/>
      <c r="N69" s="801"/>
      <c r="O69" s="801"/>
      <c r="P69" s="801"/>
      <c r="R69" s="515"/>
      <c r="S69" s="514"/>
      <c r="T69" s="64"/>
    </row>
    <row r="70" spans="2:20" ht="16" x14ac:dyDescent="0.2">
      <c r="B70" s="936"/>
      <c r="C70" s="808"/>
      <c r="D70" s="801"/>
      <c r="E70" s="801"/>
      <c r="F70" s="801"/>
      <c r="G70" s="801"/>
      <c r="H70" s="801"/>
      <c r="I70" s="801"/>
      <c r="J70" s="801"/>
      <c r="K70" s="801"/>
      <c r="L70" s="801"/>
      <c r="M70" s="801"/>
      <c r="N70" s="801"/>
      <c r="O70" s="801"/>
      <c r="P70" s="801"/>
      <c r="R70" s="515"/>
      <c r="S70" s="514"/>
      <c r="T70" s="64"/>
    </row>
    <row r="71" spans="2:20" ht="16" x14ac:dyDescent="0.2">
      <c r="B71" s="936"/>
      <c r="C71" s="808"/>
      <c r="D71" s="801"/>
      <c r="E71" s="801"/>
      <c r="F71" s="801"/>
      <c r="G71" s="801"/>
      <c r="H71" s="801"/>
      <c r="I71" s="801"/>
      <c r="J71" s="801"/>
      <c r="K71" s="801"/>
      <c r="L71" s="801"/>
      <c r="M71" s="801"/>
      <c r="N71" s="801"/>
      <c r="O71" s="801"/>
      <c r="P71" s="801"/>
      <c r="R71" s="515"/>
      <c r="S71" s="514"/>
      <c r="T71" s="64"/>
    </row>
    <row r="72" spans="2:20" ht="16" x14ac:dyDescent="0.2">
      <c r="B72" s="936"/>
      <c r="C72" s="808"/>
      <c r="D72" s="801"/>
      <c r="E72" s="801"/>
      <c r="F72" s="801"/>
      <c r="G72" s="801"/>
      <c r="H72" s="801"/>
      <c r="I72" s="801"/>
      <c r="J72" s="801"/>
      <c r="K72" s="801"/>
      <c r="L72" s="801"/>
      <c r="M72" s="801"/>
      <c r="N72" s="801"/>
      <c r="O72" s="801"/>
      <c r="P72" s="801"/>
      <c r="R72" s="515"/>
      <c r="S72" s="514"/>
      <c r="T72" s="64"/>
    </row>
    <row r="73" spans="2:20" ht="16" x14ac:dyDescent="0.2">
      <c r="B73" s="936"/>
      <c r="C73" s="808"/>
      <c r="D73" s="801"/>
      <c r="E73" s="801"/>
      <c r="F73" s="801"/>
      <c r="G73" s="801"/>
      <c r="H73" s="801"/>
      <c r="I73" s="801"/>
      <c r="J73" s="801"/>
      <c r="K73" s="801"/>
      <c r="L73" s="801"/>
      <c r="M73" s="801"/>
      <c r="N73" s="801"/>
      <c r="O73" s="801"/>
      <c r="P73" s="801"/>
      <c r="R73" s="515"/>
      <c r="S73" s="514"/>
      <c r="T73" s="64"/>
    </row>
    <row r="74" spans="2:20" ht="16" x14ac:dyDescent="0.2">
      <c r="B74" s="936"/>
      <c r="C74" s="52"/>
      <c r="D74" s="808"/>
      <c r="E74" s="808"/>
      <c r="F74" s="808"/>
      <c r="G74" s="808"/>
      <c r="H74" s="808"/>
      <c r="I74" s="808"/>
      <c r="J74" s="808"/>
      <c r="K74" s="808"/>
      <c r="L74" s="808"/>
      <c r="M74" s="808"/>
      <c r="N74" s="808"/>
      <c r="O74" s="808"/>
      <c r="P74" s="801"/>
      <c r="R74" s="515"/>
      <c r="S74" s="514"/>
      <c r="T74" s="64"/>
    </row>
    <row r="75" spans="2:20" ht="16" x14ac:dyDescent="0.2">
      <c r="B75" s="714"/>
      <c r="C75" s="52"/>
      <c r="D75" s="801"/>
      <c r="E75" s="801"/>
      <c r="F75" s="801"/>
      <c r="G75" s="801"/>
      <c r="H75" s="801"/>
      <c r="I75" s="801"/>
      <c r="J75" s="801"/>
      <c r="K75" s="801"/>
      <c r="L75" s="801"/>
      <c r="M75" s="801"/>
      <c r="N75" s="801"/>
      <c r="O75" s="801"/>
      <c r="P75" s="801"/>
      <c r="R75" s="515"/>
      <c r="S75" s="514"/>
      <c r="T75" s="64"/>
    </row>
    <row r="76" spans="2:20" ht="16" x14ac:dyDescent="0.2">
      <c r="B76" s="714"/>
      <c r="C76" s="52"/>
      <c r="D76" s="801"/>
      <c r="E76" s="801"/>
      <c r="F76" s="801"/>
      <c r="G76" s="801"/>
      <c r="H76" s="801"/>
      <c r="I76" s="801"/>
      <c r="J76" s="801"/>
      <c r="K76" s="801"/>
      <c r="L76" s="801"/>
      <c r="M76" s="801"/>
      <c r="N76" s="801"/>
      <c r="O76" s="801"/>
      <c r="P76" s="801"/>
      <c r="R76" s="515"/>
      <c r="S76" s="514"/>
      <c r="T76" s="64"/>
    </row>
    <row r="77" spans="2:20" ht="16" x14ac:dyDescent="0.2">
      <c r="B77" s="714"/>
      <c r="C77" s="52"/>
      <c r="D77" s="580"/>
      <c r="E77" s="580"/>
      <c r="F77" s="580"/>
      <c r="G77" s="580"/>
      <c r="H77" s="580"/>
      <c r="I77" s="580"/>
      <c r="J77" s="580"/>
      <c r="K77" s="580"/>
      <c r="L77" s="580"/>
      <c r="M77" s="580"/>
      <c r="N77" s="580"/>
      <c r="O77" s="580"/>
      <c r="P77" s="580"/>
      <c r="R77" s="515"/>
      <c r="S77" s="514"/>
      <c r="T77" s="64"/>
    </row>
    <row r="78" spans="2:20" ht="16" x14ac:dyDescent="0.2">
      <c r="F78" s="103"/>
      <c r="I78" s="103"/>
      <c r="M78" s="103"/>
      <c r="R78" s="515"/>
      <c r="S78" s="514"/>
      <c r="T78" s="64"/>
    </row>
    <row r="79" spans="2:20" x14ac:dyDescent="0.2">
      <c r="O79" s="117"/>
      <c r="P79" s="117"/>
    </row>
    <row r="80" spans="2:20" x14ac:dyDescent="0.2">
      <c r="D80" s="103"/>
      <c r="O80" s="117"/>
      <c r="P80" s="117"/>
    </row>
    <row r="81" spans="15:16" x14ac:dyDescent="0.2">
      <c r="O81" s="117"/>
      <c r="P81" s="117"/>
    </row>
    <row r="82" spans="15:16" x14ac:dyDescent="0.2">
      <c r="O82" s="117"/>
      <c r="P82" s="117"/>
    </row>
    <row r="83" spans="15:16" x14ac:dyDescent="0.2">
      <c r="O83" s="117"/>
      <c r="P83" s="117"/>
    </row>
    <row r="84" spans="15:16" x14ac:dyDescent="0.2">
      <c r="O84" s="117"/>
      <c r="P84" s="117"/>
    </row>
    <row r="85" spans="15:16" x14ac:dyDescent="0.2">
      <c r="O85" s="117"/>
      <c r="P85" s="117"/>
    </row>
  </sheetData>
  <mergeCells count="3">
    <mergeCell ref="B5:P5"/>
    <mergeCell ref="B29:P29"/>
    <mergeCell ref="B3:AG3"/>
  </mergeCells>
  <hyperlinks>
    <hyperlink ref="B1" location="Index!A1" display="Back to Index" xr:uid="{FE99089D-5CB2-4626-A4B3-F02018625CC1}"/>
  </hyperlinks>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EA5C5-2760-4C5E-A5E5-CC1B4EFFF993}">
  <sheetPr published="0">
    <tabColor rgb="FFFF0000"/>
  </sheetPr>
  <dimension ref="B1:Q90"/>
  <sheetViews>
    <sheetView showGridLines="0" topLeftCell="G41" zoomScale="95" zoomScaleNormal="130" workbookViewId="0">
      <selection activeCell="P36" sqref="P36:Q38"/>
    </sheetView>
  </sheetViews>
  <sheetFormatPr baseColWidth="10" defaultColWidth="11.5" defaultRowHeight="15" x14ac:dyDescent="0.2"/>
  <cols>
    <col min="1" max="1" width="1.83203125" customWidth="1"/>
    <col min="2" max="2" width="26.5" bestFit="1" customWidth="1"/>
    <col min="3" max="3" width="22.83203125" customWidth="1"/>
    <col min="4" max="7" width="17.6640625" customWidth="1"/>
    <col min="8" max="8" width="12.5" customWidth="1"/>
  </cols>
  <sheetData>
    <row r="1" spans="2:16" x14ac:dyDescent="0.2">
      <c r="B1" s="56" t="s">
        <v>37</v>
      </c>
    </row>
    <row r="3" spans="2:16" x14ac:dyDescent="0.2">
      <c r="B3" s="4" t="s">
        <v>23</v>
      </c>
      <c r="C3" s="146"/>
      <c r="D3" s="146"/>
      <c r="E3" s="146"/>
      <c r="F3" s="146"/>
      <c r="G3" s="146"/>
      <c r="H3" s="146"/>
      <c r="I3" s="146"/>
      <c r="J3" s="146"/>
      <c r="K3" s="146"/>
      <c r="L3" s="146"/>
      <c r="M3" s="146"/>
      <c r="N3" s="146"/>
      <c r="O3" s="146"/>
      <c r="P3" s="146"/>
    </row>
    <row r="5" spans="2:16" x14ac:dyDescent="0.2">
      <c r="B5" s="642"/>
      <c r="C5" s="4" t="s">
        <v>724</v>
      </c>
      <c r="D5" s="4" t="s">
        <v>725</v>
      </c>
      <c r="E5" s="4" t="s">
        <v>726</v>
      </c>
      <c r="F5" s="4" t="s">
        <v>727</v>
      </c>
      <c r="G5" s="4" t="s">
        <v>728</v>
      </c>
      <c r="H5" s="4" t="s">
        <v>729</v>
      </c>
    </row>
    <row r="6" spans="2:16" x14ac:dyDescent="0.2">
      <c r="B6" s="642" t="s">
        <v>730</v>
      </c>
      <c r="C6">
        <v>41600</v>
      </c>
      <c r="D6">
        <f>ROUNDUP(E18/C6,0)</f>
        <v>1</v>
      </c>
      <c r="E6">
        <f>ROUNDUP(E20/C6,0)</f>
        <v>1</v>
      </c>
      <c r="F6">
        <f>ROUNDUP(E22/C6,0)</f>
        <v>1</v>
      </c>
      <c r="G6">
        <f>ROUNDUP(E24/C6,0)</f>
        <v>1</v>
      </c>
      <c r="H6">
        <f>ROUNDUP(E26/C6,0)</f>
        <v>1</v>
      </c>
      <c r="I6" t="s">
        <v>731</v>
      </c>
    </row>
    <row r="7" spans="2:16" x14ac:dyDescent="0.2">
      <c r="B7" s="642" t="s">
        <v>732</v>
      </c>
      <c r="C7">
        <v>10400</v>
      </c>
      <c r="D7">
        <f>ROUNDUP(E18/$C$7,0)</f>
        <v>1</v>
      </c>
      <c r="E7">
        <f>ROUNDUP(E20/$C$7,0)</f>
        <v>1</v>
      </c>
      <c r="F7">
        <f>ROUNDUP(E22/$C$7,0)</f>
        <v>1</v>
      </c>
      <c r="G7">
        <f>ROUNDUP(E24/$C$7,0)</f>
        <v>2</v>
      </c>
      <c r="H7">
        <f>ROUNDUP(E26/$C$7,0)</f>
        <v>2</v>
      </c>
      <c r="I7" t="s">
        <v>733</v>
      </c>
    </row>
    <row r="8" spans="2:16" x14ac:dyDescent="0.2">
      <c r="B8" s="642" t="s">
        <v>734</v>
      </c>
      <c r="C8">
        <v>20800</v>
      </c>
      <c r="D8">
        <f>ROUNDUP(E18/$C$8,0)</f>
        <v>1</v>
      </c>
      <c r="E8">
        <f>ROUNDUP(E20/$C$8,0)</f>
        <v>1</v>
      </c>
      <c r="F8">
        <f>ROUNDUP(E22/$C$8,0)</f>
        <v>1</v>
      </c>
      <c r="G8">
        <f>ROUNDUP(E24/$C$8,0)</f>
        <v>1</v>
      </c>
      <c r="H8">
        <f>ROUNDUP(E26/$C$8,0)</f>
        <v>1</v>
      </c>
      <c r="I8" t="s">
        <v>735</v>
      </c>
    </row>
    <row r="9" spans="2:16" x14ac:dyDescent="0.2">
      <c r="B9" s="642" t="s">
        <v>736</v>
      </c>
      <c r="C9">
        <v>20800</v>
      </c>
      <c r="D9">
        <f>ROUNDUP(E18/$C$9,0)</f>
        <v>1</v>
      </c>
      <c r="E9">
        <f>ROUNDUP(E20/$C$9,0)</f>
        <v>1</v>
      </c>
      <c r="F9">
        <f>ROUNDUP(E22/$C$9,0)</f>
        <v>1</v>
      </c>
      <c r="G9">
        <f>ROUNDUP(E24/$C$9,0)</f>
        <v>1</v>
      </c>
      <c r="H9">
        <f>ROUNDUP(E26/$C$9,0)</f>
        <v>1</v>
      </c>
      <c r="I9" t="s">
        <v>737</v>
      </c>
    </row>
    <row r="12" spans="2:16" x14ac:dyDescent="0.2">
      <c r="B12" s="642"/>
      <c r="C12" s="1068" t="s">
        <v>41</v>
      </c>
      <c r="D12" s="1068" t="s">
        <v>42</v>
      </c>
      <c r="E12" s="1068" t="s">
        <v>43</v>
      </c>
      <c r="F12" s="1068" t="s">
        <v>44</v>
      </c>
      <c r="G12" s="1068" t="s">
        <v>45</v>
      </c>
    </row>
    <row r="13" spans="2:16" x14ac:dyDescent="0.2">
      <c r="B13" s="4" t="s">
        <v>738</v>
      </c>
      <c r="C13">
        <f>Capacity!F54</f>
        <v>6.9499999999999993</v>
      </c>
      <c r="D13" s="136">
        <f>Capacity!F63</f>
        <v>4.05</v>
      </c>
      <c r="E13">
        <f>Capacity!F72</f>
        <v>1.45</v>
      </c>
      <c r="F13">
        <f>Capacity!F81</f>
        <v>0.72499999999999998</v>
      </c>
      <c r="G13">
        <f>Capacity!F90</f>
        <v>0.72499999999999998</v>
      </c>
    </row>
    <row r="14" spans="2:16" x14ac:dyDescent="0.2">
      <c r="B14" s="4" t="s">
        <v>739</v>
      </c>
      <c r="C14" s="136">
        <f>Capacity!I87</f>
        <v>9.0646477165331643</v>
      </c>
      <c r="D14" s="136">
        <f>Capacity!J87</f>
        <v>4.6266866321046756</v>
      </c>
      <c r="E14" s="136">
        <f>Capacity!K87</f>
        <v>1.7562873256793359</v>
      </c>
      <c r="F14" s="136">
        <f>Capacity!L87</f>
        <v>1.0234579261159653</v>
      </c>
      <c r="G14" s="136">
        <f>Capacity!M87</f>
        <v>0.73542181382137983</v>
      </c>
    </row>
    <row r="16" spans="2:16" x14ac:dyDescent="0.2">
      <c r="E16" s="1807" t="s">
        <v>740</v>
      </c>
      <c r="F16" s="1807"/>
      <c r="G16" s="1807"/>
      <c r="H16" s="1807"/>
      <c r="I16" s="1807"/>
      <c r="J16" s="1807"/>
      <c r="K16" s="1807"/>
      <c r="L16" s="1807"/>
      <c r="M16" s="1807"/>
      <c r="N16" s="1807"/>
      <c r="O16" s="1807"/>
      <c r="P16" s="1807"/>
    </row>
    <row r="17" spans="2:17" x14ac:dyDescent="0.2">
      <c r="B17" s="4" t="s">
        <v>741</v>
      </c>
      <c r="C17" s="4"/>
      <c r="D17" s="4"/>
      <c r="E17" s="4">
        <v>1</v>
      </c>
      <c r="F17" s="4">
        <f t="shared" ref="F17:P17" si="0">E17+1</f>
        <v>2</v>
      </c>
      <c r="G17" s="4">
        <f t="shared" si="0"/>
        <v>3</v>
      </c>
      <c r="H17" s="4">
        <f t="shared" si="0"/>
        <v>4</v>
      </c>
      <c r="I17" s="4">
        <f t="shared" si="0"/>
        <v>5</v>
      </c>
      <c r="J17" s="4">
        <f t="shared" si="0"/>
        <v>6</v>
      </c>
      <c r="K17" s="4">
        <f t="shared" si="0"/>
        <v>7</v>
      </c>
      <c r="L17" s="4">
        <f t="shared" si="0"/>
        <v>8</v>
      </c>
      <c r="M17" s="4">
        <f t="shared" si="0"/>
        <v>9</v>
      </c>
      <c r="N17" s="4">
        <f t="shared" si="0"/>
        <v>10</v>
      </c>
      <c r="O17" s="4">
        <f t="shared" si="0"/>
        <v>11</v>
      </c>
      <c r="P17" s="4">
        <f t="shared" si="0"/>
        <v>12</v>
      </c>
      <c r="Q17" t="s">
        <v>742</v>
      </c>
    </row>
    <row r="18" spans="2:17" x14ac:dyDescent="0.2">
      <c r="B18" s="4" t="s">
        <v>743</v>
      </c>
      <c r="C18" s="97">
        <f>((260*8)*60)/12</f>
        <v>10400</v>
      </c>
      <c r="D18" s="97"/>
      <c r="E18" s="97">
        <f>$C$18/Capacity!$F$54</f>
        <v>1496.4028776978419</v>
      </c>
      <c r="F18" s="97">
        <f>$C$18/Capacity!$F$54</f>
        <v>1496.4028776978419</v>
      </c>
      <c r="G18" s="97">
        <f>$C$18/Capacity!$F$54</f>
        <v>1496.4028776978419</v>
      </c>
      <c r="H18" s="97">
        <f>$C$18/Capacity!$F$54</f>
        <v>1496.4028776978419</v>
      </c>
      <c r="I18" s="97">
        <f>$C$18/Capacity!$F$54</f>
        <v>1496.4028776978419</v>
      </c>
      <c r="J18" s="97">
        <f>$C$18/Capacity!$F$54</f>
        <v>1496.4028776978419</v>
      </c>
      <c r="K18" s="97">
        <f>$C$18/Capacity!$F$54</f>
        <v>1496.4028776978419</v>
      </c>
      <c r="L18" s="97">
        <f>$C$18/Capacity!$F$54</f>
        <v>1496.4028776978419</v>
      </c>
      <c r="M18" s="97">
        <f>$C$18/Capacity!$F$54</f>
        <v>1496.4028776978419</v>
      </c>
      <c r="N18" s="97">
        <f>$C$18/Capacity!$F$54</f>
        <v>1496.4028776978419</v>
      </c>
      <c r="O18" s="97">
        <f>$C$18/Capacity!$F$54</f>
        <v>1496.4028776978419</v>
      </c>
      <c r="P18" s="97">
        <f>$C$18/Capacity!$F$54</f>
        <v>1496.4028776978419</v>
      </c>
    </row>
    <row r="19" spans="2:17" x14ac:dyDescent="0.2">
      <c r="B19" s="4"/>
      <c r="C19" s="1453"/>
      <c r="D19" s="97"/>
      <c r="E19" s="97"/>
      <c r="F19" s="97"/>
      <c r="G19" s="97"/>
      <c r="H19" s="97"/>
      <c r="I19" s="97"/>
      <c r="J19" s="97"/>
      <c r="K19" s="97"/>
      <c r="L19" s="97"/>
      <c r="M19" s="97"/>
      <c r="N19" s="97"/>
      <c r="O19" s="97"/>
      <c r="P19" s="97"/>
    </row>
    <row r="20" spans="2:17" x14ac:dyDescent="0.2">
      <c r="B20" s="4" t="s">
        <v>42</v>
      </c>
      <c r="C20" s="97">
        <f>((260*8)*60)/12</f>
        <v>10400</v>
      </c>
      <c r="D20" s="97"/>
      <c r="E20" s="97">
        <f>$C$20/Capacity!$F$63</f>
        <v>2567.9012345679012</v>
      </c>
      <c r="F20" s="97">
        <f>$C$20/Capacity!$F$63</f>
        <v>2567.9012345679012</v>
      </c>
      <c r="G20" s="97">
        <f>$C$20/Capacity!$F$63</f>
        <v>2567.9012345679012</v>
      </c>
      <c r="H20" s="97">
        <f>$C$20/Capacity!$F$63</f>
        <v>2567.9012345679012</v>
      </c>
      <c r="I20" s="97">
        <f>$C$20/Capacity!$F$63</f>
        <v>2567.9012345679012</v>
      </c>
      <c r="J20" s="97">
        <f>$C$20/Capacity!$F$63</f>
        <v>2567.9012345679012</v>
      </c>
      <c r="K20" s="97">
        <f>$C$20/Capacity!$F$63</f>
        <v>2567.9012345679012</v>
      </c>
      <c r="L20" s="97">
        <f>$C$20/Capacity!$F$63</f>
        <v>2567.9012345679012</v>
      </c>
      <c r="M20" s="97">
        <f>$C$20/Capacity!$F$63</f>
        <v>2567.9012345679012</v>
      </c>
      <c r="N20" s="97">
        <f>$C$20/Capacity!$F$63</f>
        <v>2567.9012345679012</v>
      </c>
      <c r="O20" s="97">
        <f>$C$20/Capacity!$F$63</f>
        <v>2567.9012345679012</v>
      </c>
      <c r="P20" s="97">
        <f>$C$20/Capacity!$F$63</f>
        <v>2567.9012345679012</v>
      </c>
    </row>
    <row r="21" spans="2:17" x14ac:dyDescent="0.2">
      <c r="B21" s="4"/>
      <c r="C21" s="97"/>
      <c r="D21" s="97"/>
      <c r="E21" s="97"/>
      <c r="F21" s="97"/>
      <c r="G21" s="97"/>
      <c r="H21" s="97"/>
      <c r="I21" s="97"/>
      <c r="J21" s="97"/>
      <c r="K21" s="97"/>
      <c r="L21" s="97"/>
      <c r="M21" s="97"/>
      <c r="N21" s="97"/>
      <c r="O21" s="97"/>
      <c r="P21" s="97"/>
    </row>
    <row r="22" spans="2:17" x14ac:dyDescent="0.2">
      <c r="B22" s="4" t="s">
        <v>43</v>
      </c>
      <c r="C22" s="97">
        <f>((260*8)*60)/12</f>
        <v>10400</v>
      </c>
      <c r="D22" s="97"/>
      <c r="E22" s="97">
        <f>C22/Capacity!F72</f>
        <v>7172.4137931034484</v>
      </c>
      <c r="F22" s="97">
        <f t="shared" ref="F22:P22" si="1">E22</f>
        <v>7172.4137931034484</v>
      </c>
      <c r="G22" s="97">
        <f t="shared" si="1"/>
        <v>7172.4137931034484</v>
      </c>
      <c r="H22" s="97">
        <f t="shared" si="1"/>
        <v>7172.4137931034484</v>
      </c>
      <c r="I22" s="97">
        <f t="shared" si="1"/>
        <v>7172.4137931034484</v>
      </c>
      <c r="J22" s="97">
        <f t="shared" si="1"/>
        <v>7172.4137931034484</v>
      </c>
      <c r="K22" s="97">
        <f t="shared" si="1"/>
        <v>7172.4137931034484</v>
      </c>
      <c r="L22" s="97">
        <f t="shared" si="1"/>
        <v>7172.4137931034484</v>
      </c>
      <c r="M22" s="97">
        <f t="shared" si="1"/>
        <v>7172.4137931034484</v>
      </c>
      <c r="N22" s="97">
        <f t="shared" si="1"/>
        <v>7172.4137931034484</v>
      </c>
      <c r="O22" s="97">
        <f t="shared" si="1"/>
        <v>7172.4137931034484</v>
      </c>
      <c r="P22" s="97">
        <f t="shared" si="1"/>
        <v>7172.4137931034484</v>
      </c>
    </row>
    <row r="23" spans="2:17" x14ac:dyDescent="0.2">
      <c r="B23" s="4"/>
      <c r="C23" s="97"/>
      <c r="D23" s="97"/>
      <c r="E23" s="97"/>
      <c r="F23" s="97"/>
      <c r="G23" s="97"/>
      <c r="H23" s="97"/>
      <c r="I23" s="97"/>
      <c r="J23" s="97"/>
      <c r="K23" s="97"/>
      <c r="L23" s="97"/>
      <c r="M23" s="97"/>
      <c r="N23" s="97"/>
      <c r="O23" s="97"/>
      <c r="P23" s="97"/>
    </row>
    <row r="24" spans="2:17" x14ac:dyDescent="0.2">
      <c r="B24" s="4" t="s">
        <v>44</v>
      </c>
      <c r="C24" s="97">
        <f>((260*8)*60)/12</f>
        <v>10400</v>
      </c>
      <c r="D24" s="97"/>
      <c r="E24" s="97">
        <f>$C$24/Capacity!F81</f>
        <v>14344.827586206897</v>
      </c>
      <c r="F24" s="97">
        <f t="shared" ref="F24:P24" si="2">E24</f>
        <v>14344.827586206897</v>
      </c>
      <c r="G24" s="97">
        <f t="shared" si="2"/>
        <v>14344.827586206897</v>
      </c>
      <c r="H24" s="97">
        <f t="shared" si="2"/>
        <v>14344.827586206897</v>
      </c>
      <c r="I24" s="97">
        <f t="shared" si="2"/>
        <v>14344.827586206897</v>
      </c>
      <c r="J24" s="97">
        <f t="shared" si="2"/>
        <v>14344.827586206897</v>
      </c>
      <c r="K24" s="97">
        <f t="shared" si="2"/>
        <v>14344.827586206897</v>
      </c>
      <c r="L24" s="97">
        <f t="shared" si="2"/>
        <v>14344.827586206897</v>
      </c>
      <c r="M24" s="97">
        <f t="shared" si="2"/>
        <v>14344.827586206897</v>
      </c>
      <c r="N24" s="97">
        <f t="shared" si="2"/>
        <v>14344.827586206897</v>
      </c>
      <c r="O24" s="97">
        <f t="shared" si="2"/>
        <v>14344.827586206897</v>
      </c>
      <c r="P24" s="97">
        <f t="shared" si="2"/>
        <v>14344.827586206897</v>
      </c>
    </row>
    <row r="25" spans="2:17" x14ac:dyDescent="0.2">
      <c r="B25" s="4"/>
      <c r="C25" s="97"/>
      <c r="D25" s="97"/>
      <c r="E25" s="97"/>
      <c r="F25" s="97"/>
      <c r="G25" s="97"/>
      <c r="H25" s="97"/>
      <c r="I25" s="97"/>
      <c r="J25" s="97"/>
      <c r="K25" s="97"/>
      <c r="L25" s="97"/>
      <c r="M25" s="97"/>
      <c r="N25" s="97"/>
      <c r="O25" s="97"/>
      <c r="P25" s="97"/>
    </row>
    <row r="26" spans="2:17" x14ac:dyDescent="0.2">
      <c r="B26" s="4" t="s">
        <v>45</v>
      </c>
      <c r="C26" s="97">
        <f>((260*8)*60)/12</f>
        <v>10400</v>
      </c>
      <c r="D26" s="97"/>
      <c r="E26" s="97">
        <f>$C$26/Capacity!$F$90</f>
        <v>14344.827586206897</v>
      </c>
      <c r="F26" s="97">
        <f>$C$26/Capacity!$F$90</f>
        <v>14344.827586206897</v>
      </c>
      <c r="G26" s="97">
        <f>$C$26/Capacity!$F$90</f>
        <v>14344.827586206897</v>
      </c>
      <c r="H26" s="97">
        <f>$C$26/Capacity!$F$90</f>
        <v>14344.827586206897</v>
      </c>
      <c r="I26" s="97">
        <f>$C$26/Capacity!$F$90</f>
        <v>14344.827586206897</v>
      </c>
      <c r="J26" s="97">
        <f>$C$26/Capacity!$F$90</f>
        <v>14344.827586206897</v>
      </c>
      <c r="K26" s="97">
        <f>$C$26/Capacity!$F$90</f>
        <v>14344.827586206897</v>
      </c>
      <c r="L26" s="97">
        <f>$C$26/Capacity!$F$90</f>
        <v>14344.827586206897</v>
      </c>
      <c r="M26" s="97">
        <f>$C$26/Capacity!$F$90</f>
        <v>14344.827586206897</v>
      </c>
      <c r="N26" s="97">
        <f>$C$26/Capacity!$F$90</f>
        <v>14344.827586206897</v>
      </c>
      <c r="O26" s="97">
        <f>$C$26/Capacity!$F$90</f>
        <v>14344.827586206897</v>
      </c>
      <c r="P26" s="97">
        <f>$C$26/Capacity!$F$90</f>
        <v>14344.827586206897</v>
      </c>
    </row>
    <row r="27" spans="2:17" x14ac:dyDescent="0.2">
      <c r="E27" s="117"/>
      <c r="F27" s="117"/>
      <c r="G27" s="117"/>
      <c r="H27" s="117"/>
      <c r="I27" s="117"/>
      <c r="J27" s="117"/>
      <c r="K27" s="117"/>
      <c r="L27" s="117"/>
      <c r="M27" s="117"/>
      <c r="N27" s="117"/>
      <c r="O27" s="117"/>
      <c r="P27" s="117"/>
    </row>
    <row r="28" spans="2:17" x14ac:dyDescent="0.2">
      <c r="C28" s="1807" t="s">
        <v>188</v>
      </c>
      <c r="D28" s="1807"/>
      <c r="E28" s="1807"/>
      <c r="F28" s="1807"/>
      <c r="G28" s="1807"/>
      <c r="H28" s="117"/>
      <c r="I28" s="117"/>
      <c r="J28" s="117"/>
      <c r="K28" s="117"/>
      <c r="L28" s="117"/>
      <c r="M28" s="117"/>
      <c r="N28" s="117"/>
      <c r="O28" s="117"/>
      <c r="P28" s="117"/>
    </row>
    <row r="29" spans="2:17" x14ac:dyDescent="0.2">
      <c r="B29" s="4"/>
      <c r="C29" s="1068">
        <v>1</v>
      </c>
      <c r="D29" s="1068">
        <v>2</v>
      </c>
      <c r="E29" s="1068">
        <v>3</v>
      </c>
      <c r="F29" s="1068">
        <v>4</v>
      </c>
      <c r="G29" s="1068">
        <v>5</v>
      </c>
    </row>
    <row r="30" spans="2:17" x14ac:dyDescent="0.2">
      <c r="B30" s="4" t="s">
        <v>744</v>
      </c>
      <c r="C30" s="117">
        <f>(480/C13)*(260/12)</f>
        <v>1496.4028776978421</v>
      </c>
      <c r="D30" s="117">
        <f>(480/D13)*(260/12)</f>
        <v>2567.9012345679016</v>
      </c>
      <c r="E30" s="117">
        <f>(480/E13)*(260/12)</f>
        <v>7172.4137931034493</v>
      </c>
      <c r="F30" s="117">
        <f>(480/F13)*(260/12)</f>
        <v>14344.827586206899</v>
      </c>
      <c r="G30" s="117">
        <f>(480/G13)*(260/12)</f>
        <v>14344.827586206899</v>
      </c>
    </row>
    <row r="31" spans="2:17" x14ac:dyDescent="0.2">
      <c r="B31" s="4" t="s">
        <v>745</v>
      </c>
      <c r="C31" s="117">
        <f>C30*0.85</f>
        <v>1271.9424460431658</v>
      </c>
      <c r="D31" s="117">
        <f>D30*0.85</f>
        <v>2182.7160493827164</v>
      </c>
      <c r="E31" s="117">
        <f>E30*0.85</f>
        <v>6096.5517241379321</v>
      </c>
      <c r="F31" s="117">
        <f>F30*0.85</f>
        <v>12193.103448275864</v>
      </c>
      <c r="G31" s="117">
        <f>G30*0.85</f>
        <v>12193.103448275864</v>
      </c>
    </row>
    <row r="32" spans="2:17" x14ac:dyDescent="0.2">
      <c r="B32" s="4" t="s">
        <v>746</v>
      </c>
      <c r="C32" s="117">
        <f>0.9*C30</f>
        <v>1346.7625899280579</v>
      </c>
      <c r="D32" s="117">
        <f>0.9*D30</f>
        <v>2311.1111111111113</v>
      </c>
      <c r="E32" s="117">
        <f>0.9*E30</f>
        <v>6455.1724137931042</v>
      </c>
      <c r="F32" s="117">
        <f>0.9*F30</f>
        <v>12910.344827586208</v>
      </c>
      <c r="G32" s="117">
        <f>0.9*G30</f>
        <v>12910.344827586208</v>
      </c>
    </row>
    <row r="33" spans="2:17" x14ac:dyDescent="0.2">
      <c r="B33" s="4" t="s">
        <v>747</v>
      </c>
      <c r="C33" s="117">
        <f>(480/C14)*(260/12)</f>
        <v>1147.3143055555556</v>
      </c>
      <c r="D33" s="117">
        <f>(480/D14)*(260/12)</f>
        <v>2247.8289166666664</v>
      </c>
      <c r="E33" s="117">
        <f>(480/E14)*(260/12)</f>
        <v>5921.5823333333328</v>
      </c>
      <c r="F33" s="117">
        <f>(480/F14)*(260/12)</f>
        <v>10161.629251793594</v>
      </c>
      <c r="G33" s="117">
        <f>(480/G14)*(260/12)</f>
        <v>14141.54408333333</v>
      </c>
    </row>
    <row r="34" spans="2:17" x14ac:dyDescent="0.2">
      <c r="B34" s="4" t="s">
        <v>748</v>
      </c>
      <c r="C34" s="989">
        <f>C33/C30</f>
        <v>0.76671484842414517</v>
      </c>
      <c r="D34" s="989">
        <f>D33/D30</f>
        <v>0.87535645312499977</v>
      </c>
      <c r="E34" s="989">
        <f>E33/E30</f>
        <v>0.82560522916666645</v>
      </c>
      <c r="F34" s="989">
        <f>F33/F30</f>
        <v>0.70838280841830337</v>
      </c>
      <c r="G34" s="989">
        <f>G33/G30</f>
        <v>0.98582879427083303</v>
      </c>
    </row>
    <row r="35" spans="2:17" x14ac:dyDescent="0.2">
      <c r="B35" s="4" t="s">
        <v>749</v>
      </c>
      <c r="C35" s="989">
        <f>C33/C31</f>
        <v>0.90201746873428845</v>
      </c>
      <c r="D35" s="989">
        <f>D33/D31</f>
        <v>1.0298311213235292</v>
      </c>
      <c r="E35" s="989">
        <f>E33/E31</f>
        <v>0.97130026960784288</v>
      </c>
      <c r="F35" s="989">
        <f>F33/F31</f>
        <v>0.83339153931565102</v>
      </c>
      <c r="G35" s="989">
        <f>G33/G31</f>
        <v>1.1597985814950975</v>
      </c>
    </row>
    <row r="36" spans="2:17" x14ac:dyDescent="0.2">
      <c r="B36" s="4" t="s">
        <v>749</v>
      </c>
      <c r="C36" s="1360">
        <f>C33/C32</f>
        <v>0.85190538713793906</v>
      </c>
      <c r="D36" s="1360">
        <f>D33/D32</f>
        <v>0.97261828124999983</v>
      </c>
      <c r="E36" s="1360">
        <f>E33/E32</f>
        <v>0.91733914351851831</v>
      </c>
      <c r="F36" s="1360">
        <f>F33/F32</f>
        <v>0.78709200935367041</v>
      </c>
      <c r="G36" s="1360">
        <f>G33/G32</f>
        <v>1.0953653269675923</v>
      </c>
    </row>
    <row r="37" spans="2:17" x14ac:dyDescent="0.2">
      <c r="Q37" s="64"/>
    </row>
    <row r="38" spans="2:17" x14ac:dyDescent="0.2">
      <c r="Q38" s="64"/>
    </row>
    <row r="39" spans="2:17" x14ac:dyDescent="0.2">
      <c r="B39" s="1454" t="s">
        <v>188</v>
      </c>
      <c r="C39" s="1454" t="s">
        <v>750</v>
      </c>
      <c r="D39" s="1454" t="s">
        <v>751</v>
      </c>
      <c r="E39" s="1455" t="s">
        <v>752</v>
      </c>
      <c r="F39" s="1454" t="s">
        <v>753</v>
      </c>
      <c r="G39" s="1454" t="s">
        <v>754</v>
      </c>
      <c r="H39" s="1456" t="s">
        <v>755</v>
      </c>
    </row>
    <row r="40" spans="2:17" x14ac:dyDescent="0.2">
      <c r="B40" s="52">
        <v>1</v>
      </c>
      <c r="C40" s="52">
        <f>8*60</f>
        <v>480</v>
      </c>
      <c r="D40" s="543">
        <f>('MK Bases Model (Base Case)'!C15/260)*(1+'FE Assumptions'!D48)</f>
        <v>52.952967948717948</v>
      </c>
      <c r="E40" s="544">
        <f>C40/D40</f>
        <v>9.0646477165331643</v>
      </c>
      <c r="F40" s="207">
        <f>K81/$E40</f>
        <v>0.76671484842414539</v>
      </c>
      <c r="G40" s="207">
        <f>ROUNDUP(F40,0)</f>
        <v>1</v>
      </c>
      <c r="H40" s="1457">
        <f>1-'FE Assumptions'!D48</f>
        <v>0.98833333333333329</v>
      </c>
    </row>
    <row r="41" spans="2:17" x14ac:dyDescent="0.2">
      <c r="B41" s="52">
        <v>2</v>
      </c>
      <c r="C41" s="52">
        <f>8*60</f>
        <v>480</v>
      </c>
      <c r="D41" s="543">
        <f>('MK Bases Model (Base Case)'!D15/260)*(1+'FE Assumptions'!E48)</f>
        <v>103.74594999999999</v>
      </c>
      <c r="E41" s="544">
        <f>C41/D41</f>
        <v>4.6266866321046756</v>
      </c>
      <c r="F41" s="207">
        <f>K81/$E41</f>
        <v>1.5021549010416666</v>
      </c>
      <c r="G41" s="207">
        <f>ROUNDUP(F41,0)</f>
        <v>2</v>
      </c>
      <c r="H41" s="1458">
        <f>1-'FE Assumptions'!E48</f>
        <v>0.999</v>
      </c>
    </row>
    <row r="42" spans="2:17" x14ac:dyDescent="0.2">
      <c r="B42" s="52">
        <v>3</v>
      </c>
      <c r="C42" s="52">
        <f>8*60</f>
        <v>480</v>
      </c>
      <c r="D42" s="543">
        <f>('MK Bases Model (Base Case)'!E15/260)*(1+'FE Assumptions'!E48)</f>
        <v>273.30379999999997</v>
      </c>
      <c r="E42" s="544">
        <f>C42/D42</f>
        <v>1.7562873256793359</v>
      </c>
      <c r="F42" s="207">
        <f>K81/$E42</f>
        <v>3.9572112708333327</v>
      </c>
      <c r="G42" s="207">
        <f>ROUNDUP(F42,0)</f>
        <v>4</v>
      </c>
      <c r="H42" s="1457">
        <f>1-'FE Assumptions'!F48</f>
        <v>0.999</v>
      </c>
    </row>
    <row r="43" spans="2:17" x14ac:dyDescent="0.2">
      <c r="B43" s="52">
        <v>4</v>
      </c>
      <c r="C43" s="52">
        <f>8*60</f>
        <v>480</v>
      </c>
      <c r="D43" s="543">
        <f>('MK Bases Model (Base Case)'!F15/260)*(1+'FE Assumptions'!E48)</f>
        <v>468.9982731597043</v>
      </c>
      <c r="E43" s="544">
        <f>C43/D43</f>
        <v>1.0234579261159653</v>
      </c>
      <c r="F43" s="207">
        <f>K81/$E43</f>
        <v>6.7907041634582193</v>
      </c>
      <c r="G43" s="207">
        <f>ROUNDUP(F43,0)</f>
        <v>7</v>
      </c>
      <c r="H43" s="1458">
        <f>1-'FE Assumptions'!G48</f>
        <v>0.999</v>
      </c>
    </row>
    <row r="44" spans="2:17" x14ac:dyDescent="0.2">
      <c r="B44" s="52">
        <v>5</v>
      </c>
      <c r="C44" s="52">
        <f>8*60</f>
        <v>480</v>
      </c>
      <c r="D44" s="543">
        <f>('MK Bases Model (Base Case)'!G15/260)*(1+'FE Assumptions'!E48)</f>
        <v>652.68664999999987</v>
      </c>
      <c r="E44" s="544">
        <f>C44/D44</f>
        <v>0.73542181382137983</v>
      </c>
      <c r="F44" s="207">
        <f>K81/$E44</f>
        <v>9.4503587864583309</v>
      </c>
      <c r="G44" s="207">
        <f>ROUNDUP(F44,0)</f>
        <v>10</v>
      </c>
      <c r="H44" s="1457">
        <f>1-'FE Assumptions'!H48</f>
        <v>0.999</v>
      </c>
    </row>
    <row r="45" spans="2:17" x14ac:dyDescent="0.2">
      <c r="D45" s="136"/>
      <c r="E45" s="136"/>
      <c r="F45" s="136"/>
    </row>
    <row r="47" spans="2:17" x14ac:dyDescent="0.2">
      <c r="B47" s="1829" t="s">
        <v>41</v>
      </c>
      <c r="C47" s="1829"/>
      <c r="D47" s="1829"/>
      <c r="E47" s="1829"/>
      <c r="F47" s="1829"/>
      <c r="G47" s="1829"/>
    </row>
    <row r="48" spans="2:17" x14ac:dyDescent="0.2">
      <c r="B48" s="1462" t="s">
        <v>756</v>
      </c>
      <c r="C48" s="188"/>
      <c r="D48" s="188"/>
      <c r="E48" s="188"/>
      <c r="F48" s="1462" t="s">
        <v>757</v>
      </c>
      <c r="G48" s="1068" t="s">
        <v>758</v>
      </c>
    </row>
    <row r="49" spans="2:7" x14ac:dyDescent="0.2">
      <c r="B49" s="406" t="s">
        <v>759</v>
      </c>
      <c r="C49">
        <f>SUM(K73)</f>
        <v>1.45</v>
      </c>
      <c r="D49">
        <v>1.45</v>
      </c>
      <c r="E49">
        <f>C49</f>
        <v>1.45</v>
      </c>
      <c r="G49" s="58">
        <v>1</v>
      </c>
    </row>
    <row r="50" spans="2:7" x14ac:dyDescent="0.2">
      <c r="B50" s="406" t="s">
        <v>760</v>
      </c>
      <c r="C50">
        <f>SUM(K74)</f>
        <v>1.45</v>
      </c>
      <c r="D50">
        <v>0.2</v>
      </c>
      <c r="E50">
        <f>C50</f>
        <v>1.45</v>
      </c>
    </row>
    <row r="51" spans="2:7" x14ac:dyDescent="0.2">
      <c r="B51" s="406" t="s">
        <v>761</v>
      </c>
      <c r="C51">
        <f>SUM(K75:K76)</f>
        <v>1.45</v>
      </c>
      <c r="D51">
        <v>0.2</v>
      </c>
      <c r="E51">
        <f>C51</f>
        <v>1.45</v>
      </c>
    </row>
    <row r="52" spans="2:7" x14ac:dyDescent="0.2">
      <c r="B52" s="406" t="s">
        <v>762</v>
      </c>
      <c r="C52">
        <f>SUM(K77)</f>
        <v>1.45</v>
      </c>
      <c r="D52">
        <v>0.2</v>
      </c>
      <c r="E52">
        <f>C52</f>
        <v>1.45</v>
      </c>
    </row>
    <row r="53" spans="2:7" ht="16" thickBot="1" x14ac:dyDescent="0.25">
      <c r="B53" s="506" t="s">
        <v>763</v>
      </c>
      <c r="C53" s="167">
        <f>SUM(K78:K80)</f>
        <v>1.1499999999999999</v>
      </c>
      <c r="D53" s="167">
        <v>0.2</v>
      </c>
      <c r="E53" s="167">
        <f>C53</f>
        <v>1.1499999999999999</v>
      </c>
      <c r="F53" s="167"/>
    </row>
    <row r="54" spans="2:7" x14ac:dyDescent="0.2">
      <c r="B54" s="1366">
        <f>Capacity!E40</f>
        <v>9.0646477165331643</v>
      </c>
      <c r="D54">
        <v>1</v>
      </c>
      <c r="E54">
        <f>SUM(E49:E53)</f>
        <v>6.9499999999999993</v>
      </c>
      <c r="F54">
        <f>E54*G49</f>
        <v>6.9499999999999993</v>
      </c>
      <c r="G54" s="64"/>
    </row>
    <row r="56" spans="2:7" x14ac:dyDescent="0.2">
      <c r="B56" s="1828" t="s">
        <v>42</v>
      </c>
      <c r="C56" s="1828"/>
      <c r="D56" s="1828"/>
      <c r="E56" s="1828"/>
      <c r="F56" s="1828"/>
    </row>
    <row r="57" spans="2:7" x14ac:dyDescent="0.2">
      <c r="B57" s="1464" t="s">
        <v>764</v>
      </c>
      <c r="C57" s="1051" t="s">
        <v>765</v>
      </c>
      <c r="D57" s="1051" t="s">
        <v>766</v>
      </c>
      <c r="E57" s="1051" t="s">
        <v>767</v>
      </c>
      <c r="F57" s="1464" t="s">
        <v>738</v>
      </c>
    </row>
    <row r="58" spans="2:7" x14ac:dyDescent="0.2">
      <c r="B58" s="406" t="s">
        <v>759</v>
      </c>
      <c r="C58">
        <f>SUM(K73)</f>
        <v>1.45</v>
      </c>
      <c r="D58">
        <v>0.5</v>
      </c>
      <c r="E58">
        <f>C58</f>
        <v>1.45</v>
      </c>
      <c r="F58" s="406"/>
    </row>
    <row r="59" spans="2:7" x14ac:dyDescent="0.2">
      <c r="B59" s="406" t="s">
        <v>760</v>
      </c>
      <c r="C59">
        <f>SUM(K74)</f>
        <v>1.45</v>
      </c>
      <c r="D59">
        <v>0.5</v>
      </c>
      <c r="E59">
        <f>C59</f>
        <v>1.45</v>
      </c>
      <c r="F59" s="406">
        <f>SUM(E58:E59)</f>
        <v>2.9</v>
      </c>
    </row>
    <row r="60" spans="2:7" x14ac:dyDescent="0.2">
      <c r="B60" s="406" t="s">
        <v>761</v>
      </c>
      <c r="C60">
        <f>SUM(K75:K76)</f>
        <v>1.45</v>
      </c>
      <c r="D60">
        <v>0.33</v>
      </c>
      <c r="E60">
        <f>C60</f>
        <v>1.45</v>
      </c>
    </row>
    <row r="61" spans="2:7" x14ac:dyDescent="0.2">
      <c r="B61" s="406" t="s">
        <v>762</v>
      </c>
      <c r="C61">
        <f>SUM(K77)</f>
        <v>1.45</v>
      </c>
      <c r="D61">
        <v>0.33</v>
      </c>
      <c r="E61">
        <f>C61</f>
        <v>1.45</v>
      </c>
      <c r="F61" s="406"/>
    </row>
    <row r="62" spans="2:7" ht="16" thickBot="1" x14ac:dyDescent="0.25">
      <c r="B62" s="506" t="s">
        <v>763</v>
      </c>
      <c r="C62" s="167">
        <f>SUM(K78:K80)</f>
        <v>1.1499999999999999</v>
      </c>
      <c r="D62" s="167">
        <v>0.33</v>
      </c>
      <c r="E62" s="167">
        <f>C62</f>
        <v>1.1499999999999999</v>
      </c>
      <c r="F62" s="506">
        <f>SUM(E60:E62)</f>
        <v>4.05</v>
      </c>
    </row>
    <row r="63" spans="2:7" x14ac:dyDescent="0.2">
      <c r="B63" s="1366">
        <f>Capacity!E41</f>
        <v>4.6266866321046756</v>
      </c>
      <c r="D63">
        <f>ROUND(SUM(D58:D62),0)</f>
        <v>2</v>
      </c>
      <c r="E63">
        <f>SUM(E58:E62)</f>
        <v>6.9499999999999993</v>
      </c>
      <c r="F63" s="485">
        <f>MAX(F58:F62)*G49</f>
        <v>4.05</v>
      </c>
    </row>
    <row r="65" spans="2:16" x14ac:dyDescent="0.2">
      <c r="B65" s="1828" t="s">
        <v>43</v>
      </c>
      <c r="C65" s="1828"/>
      <c r="D65" s="1828"/>
      <c r="E65" s="1828"/>
      <c r="F65" s="1828"/>
    </row>
    <row r="66" spans="2:16" x14ac:dyDescent="0.2">
      <c r="B66" s="1464" t="s">
        <v>764</v>
      </c>
      <c r="C66" s="1051" t="s">
        <v>765</v>
      </c>
      <c r="D66" s="1051" t="s">
        <v>766</v>
      </c>
      <c r="E66" s="1051" t="s">
        <v>767</v>
      </c>
      <c r="F66" s="1464" t="s">
        <v>738</v>
      </c>
      <c r="H66">
        <v>20613</v>
      </c>
      <c r="I66">
        <v>9617</v>
      </c>
      <c r="J66">
        <v>439380</v>
      </c>
      <c r="K66">
        <f>SUM(H66:J66)</f>
        <v>469610</v>
      </c>
    </row>
    <row r="67" spans="2:16" x14ac:dyDescent="0.2">
      <c r="B67" s="406" t="s">
        <v>759</v>
      </c>
      <c r="C67">
        <f>SUM(K73)</f>
        <v>1.45</v>
      </c>
      <c r="D67">
        <v>1</v>
      </c>
      <c r="E67">
        <f>C67/D67</f>
        <v>1.45</v>
      </c>
      <c r="F67" s="1463">
        <f>E67</f>
        <v>1.45</v>
      </c>
    </row>
    <row r="68" spans="2:16" x14ac:dyDescent="0.2">
      <c r="B68" s="406" t="s">
        <v>760</v>
      </c>
      <c r="C68">
        <f>SUM(K74)</f>
        <v>1.45</v>
      </c>
      <c r="D68">
        <v>1</v>
      </c>
      <c r="E68">
        <f>C68/D68</f>
        <v>1.45</v>
      </c>
      <c r="F68" s="406">
        <f>E68</f>
        <v>1.45</v>
      </c>
    </row>
    <row r="69" spans="2:16" x14ac:dyDescent="0.2">
      <c r="B69" s="406" t="s">
        <v>761</v>
      </c>
      <c r="C69">
        <f>SUM(K75:K76)</f>
        <v>1.45</v>
      </c>
      <c r="D69">
        <v>1</v>
      </c>
      <c r="E69">
        <f>C69/D69</f>
        <v>1.45</v>
      </c>
      <c r="F69" s="406">
        <f>E69</f>
        <v>1.45</v>
      </c>
    </row>
    <row r="70" spans="2:16" x14ac:dyDescent="0.2">
      <c r="B70" s="406" t="s">
        <v>762</v>
      </c>
      <c r="C70">
        <f>SUM(K77)</f>
        <v>1.45</v>
      </c>
      <c r="D70">
        <v>1</v>
      </c>
      <c r="E70">
        <f>C70/D70</f>
        <v>1.45</v>
      </c>
      <c r="F70" s="406">
        <f>E70</f>
        <v>1.45</v>
      </c>
      <c r="P70" s="1337"/>
    </row>
    <row r="71" spans="2:16" ht="16" thickBot="1" x14ac:dyDescent="0.25">
      <c r="B71" s="506" t="s">
        <v>763</v>
      </c>
      <c r="C71" s="167">
        <f>SUM(K78:K80)</f>
        <v>1.1499999999999999</v>
      </c>
      <c r="D71" s="167">
        <v>1</v>
      </c>
      <c r="E71" s="167">
        <f>C71/D71</f>
        <v>1.1499999999999999</v>
      </c>
      <c r="F71" s="506">
        <f>E71</f>
        <v>1.1499999999999999</v>
      </c>
    </row>
    <row r="72" spans="2:16" x14ac:dyDescent="0.2">
      <c r="B72" s="1366">
        <f>Capacity!E42</f>
        <v>1.7562873256793359</v>
      </c>
      <c r="D72">
        <f>SUM(D67:D71)</f>
        <v>5</v>
      </c>
      <c r="E72">
        <f>SUM(E67:E71)</f>
        <v>6.9499999999999993</v>
      </c>
      <c r="F72" s="406">
        <f>MAX(F67:F71)*G49</f>
        <v>1.45</v>
      </c>
      <c r="H72" s="1068" t="s">
        <v>768</v>
      </c>
      <c r="I72" s="1807" t="s">
        <v>769</v>
      </c>
      <c r="J72" s="1807"/>
      <c r="K72" s="1068" t="s">
        <v>770</v>
      </c>
      <c r="P72" s="117"/>
    </row>
    <row r="73" spans="2:16" x14ac:dyDescent="0.2">
      <c r="H73" t="s">
        <v>771</v>
      </c>
      <c r="I73" s="1830" t="s">
        <v>772</v>
      </c>
      <c r="J73" s="1830"/>
      <c r="K73">
        <v>1.45</v>
      </c>
    </row>
    <row r="74" spans="2:16" x14ac:dyDescent="0.2">
      <c r="B74" s="1828" t="s">
        <v>44</v>
      </c>
      <c r="C74" s="1828"/>
      <c r="D74" s="1828"/>
      <c r="E74" s="1828"/>
      <c r="F74" s="1828"/>
      <c r="H74" t="s">
        <v>773</v>
      </c>
      <c r="I74" s="1830" t="s">
        <v>774</v>
      </c>
      <c r="J74" s="1830"/>
      <c r="K74">
        <v>1.45</v>
      </c>
    </row>
    <row r="75" spans="2:16" x14ac:dyDescent="0.2">
      <c r="B75" s="1464" t="s">
        <v>764</v>
      </c>
      <c r="C75" s="1051" t="s">
        <v>765</v>
      </c>
      <c r="D75" s="1051" t="s">
        <v>766</v>
      </c>
      <c r="E75" s="1051" t="s">
        <v>767</v>
      </c>
      <c r="F75" s="1464" t="s">
        <v>738</v>
      </c>
      <c r="H75" t="s">
        <v>775</v>
      </c>
      <c r="I75" s="1830" t="s">
        <v>776</v>
      </c>
      <c r="J75" s="1830"/>
      <c r="K75">
        <v>1</v>
      </c>
    </row>
    <row r="76" spans="2:16" x14ac:dyDescent="0.2">
      <c r="B76" s="406" t="s">
        <v>759</v>
      </c>
      <c r="C76">
        <f>SUM(K73)</f>
        <v>1.45</v>
      </c>
      <c r="D76">
        <v>2</v>
      </c>
      <c r="E76">
        <f>C76/D76</f>
        <v>0.72499999999999998</v>
      </c>
      <c r="F76" s="406">
        <f>E76</f>
        <v>0.72499999999999998</v>
      </c>
      <c r="H76" t="s">
        <v>777</v>
      </c>
      <c r="I76" s="1830" t="s">
        <v>778</v>
      </c>
      <c r="J76" s="1830"/>
      <c r="K76">
        <v>0.45</v>
      </c>
    </row>
    <row r="77" spans="2:16" x14ac:dyDescent="0.2">
      <c r="B77" s="406" t="s">
        <v>760</v>
      </c>
      <c r="C77">
        <f>SUM(K74)</f>
        <v>1.45</v>
      </c>
      <c r="D77">
        <v>2</v>
      </c>
      <c r="E77">
        <f>C77/D77</f>
        <v>0.72499999999999998</v>
      </c>
      <c r="F77" s="406">
        <f>E77</f>
        <v>0.72499999999999998</v>
      </c>
      <c r="H77" t="s">
        <v>779</v>
      </c>
      <c r="I77" s="1830" t="s">
        <v>780</v>
      </c>
      <c r="J77" s="1830"/>
      <c r="K77">
        <v>1.45</v>
      </c>
    </row>
    <row r="78" spans="2:16" x14ac:dyDescent="0.2">
      <c r="B78" s="406" t="s">
        <v>761</v>
      </c>
      <c r="C78">
        <f>SUM(K75:K76)</f>
        <v>1.45</v>
      </c>
      <c r="D78">
        <v>2</v>
      </c>
      <c r="E78">
        <f>C78/D78</f>
        <v>0.72499999999999998</v>
      </c>
      <c r="F78" s="406">
        <f>E78</f>
        <v>0.72499999999999998</v>
      </c>
      <c r="H78" t="s">
        <v>781</v>
      </c>
      <c r="I78" s="1830" t="s">
        <v>782</v>
      </c>
      <c r="J78" s="1830"/>
      <c r="K78">
        <v>0.2</v>
      </c>
    </row>
    <row r="79" spans="2:16" x14ac:dyDescent="0.2">
      <c r="B79" s="406" t="s">
        <v>762</v>
      </c>
      <c r="C79">
        <f>SUM(K77)</f>
        <v>1.45</v>
      </c>
      <c r="D79">
        <v>2</v>
      </c>
      <c r="E79">
        <f>C79/D79</f>
        <v>0.72499999999999998</v>
      </c>
      <c r="F79" s="406">
        <f>E79</f>
        <v>0.72499999999999998</v>
      </c>
      <c r="H79" t="s">
        <v>783</v>
      </c>
      <c r="I79" s="1830" t="s">
        <v>784</v>
      </c>
      <c r="J79" s="1830"/>
      <c r="K79">
        <v>0.45</v>
      </c>
    </row>
    <row r="80" spans="2:16" ht="16" thickBot="1" x14ac:dyDescent="0.25">
      <c r="B80" s="506" t="s">
        <v>763</v>
      </c>
      <c r="C80" s="167">
        <f>SUM(K78:K80)</f>
        <v>1.1499999999999999</v>
      </c>
      <c r="D80" s="167">
        <v>2</v>
      </c>
      <c r="E80" s="167">
        <f>C80/D80</f>
        <v>0.57499999999999996</v>
      </c>
      <c r="F80" s="506">
        <f>E80</f>
        <v>0.57499999999999996</v>
      </c>
      <c r="H80" t="s">
        <v>785</v>
      </c>
      <c r="I80" s="1830" t="s">
        <v>786</v>
      </c>
      <c r="J80" s="1830"/>
      <c r="K80">
        <v>0.5</v>
      </c>
    </row>
    <row r="81" spans="2:13" x14ac:dyDescent="0.2">
      <c r="B81" s="1366">
        <f>Capacity!E43</f>
        <v>1.0234579261159653</v>
      </c>
      <c r="D81">
        <f>SUM(D76:D80)</f>
        <v>10</v>
      </c>
      <c r="E81">
        <f>SUM(E76:E80)</f>
        <v>3.4749999999999996</v>
      </c>
      <c r="F81" s="94">
        <f>MAX(E76:E80)*G49</f>
        <v>0.72499999999999998</v>
      </c>
      <c r="H81" s="642"/>
      <c r="I81" s="642"/>
      <c r="J81" s="4" t="s">
        <v>160</v>
      </c>
      <c r="K81" s="4">
        <v>6.95</v>
      </c>
    </row>
    <row r="83" spans="2:13" x14ac:dyDescent="0.2">
      <c r="B83" s="1828" t="s">
        <v>45</v>
      </c>
      <c r="C83" s="1828"/>
      <c r="D83" s="1828"/>
      <c r="E83" s="1828"/>
      <c r="F83" s="1828"/>
    </row>
    <row r="84" spans="2:13" x14ac:dyDescent="0.2">
      <c r="B84" s="1464" t="s">
        <v>764</v>
      </c>
      <c r="C84" s="1051" t="s">
        <v>765</v>
      </c>
      <c r="D84" s="1051" t="s">
        <v>766</v>
      </c>
      <c r="E84" s="1051" t="s">
        <v>767</v>
      </c>
      <c r="F84" s="1464" t="s">
        <v>738</v>
      </c>
    </row>
    <row r="85" spans="2:13" x14ac:dyDescent="0.2">
      <c r="B85" s="406" t="s">
        <v>759</v>
      </c>
      <c r="C85">
        <f>SUM(K73)</f>
        <v>1.45</v>
      </c>
      <c r="D85">
        <v>2</v>
      </c>
      <c r="E85">
        <f>C85/D85</f>
        <v>0.72499999999999998</v>
      </c>
      <c r="F85">
        <f>E85</f>
        <v>0.72499999999999998</v>
      </c>
    </row>
    <row r="86" spans="2:13" x14ac:dyDescent="0.2">
      <c r="B86" s="406" t="s">
        <v>760</v>
      </c>
      <c r="C86">
        <f>SUM(K74)</f>
        <v>1.45</v>
      </c>
      <c r="D86">
        <v>2</v>
      </c>
      <c r="E86">
        <f>C86/D86</f>
        <v>0.72499999999999998</v>
      </c>
      <c r="F86">
        <f>E86</f>
        <v>0.72499999999999998</v>
      </c>
      <c r="H86" s="1461"/>
      <c r="I86" s="1459" t="s">
        <v>787</v>
      </c>
      <c r="J86" s="1459" t="s">
        <v>788</v>
      </c>
      <c r="K86" s="1459" t="s">
        <v>789</v>
      </c>
      <c r="L86" s="1459" t="s">
        <v>790</v>
      </c>
      <c r="M86" s="1460" t="s">
        <v>791</v>
      </c>
    </row>
    <row r="87" spans="2:13" x14ac:dyDescent="0.2">
      <c r="B87" s="406" t="s">
        <v>761</v>
      </c>
      <c r="C87">
        <f>SUM(K75:K76)</f>
        <v>1.45</v>
      </c>
      <c r="D87">
        <v>2</v>
      </c>
      <c r="E87">
        <f>C87/D87</f>
        <v>0.72499999999999998</v>
      </c>
      <c r="F87">
        <f>E87</f>
        <v>0.72499999999999998</v>
      </c>
      <c r="H87" s="507" t="s">
        <v>792</v>
      </c>
      <c r="I87" s="480">
        <f>Capacity!E40</f>
        <v>9.0646477165331643</v>
      </c>
      <c r="J87" s="480">
        <f>Capacity!E41</f>
        <v>4.6266866321046756</v>
      </c>
      <c r="K87" s="480">
        <f>Capacity!E42</f>
        <v>1.7562873256793359</v>
      </c>
      <c r="L87" s="480">
        <f>Capacity!E43</f>
        <v>1.0234579261159653</v>
      </c>
      <c r="M87" s="481">
        <f>Capacity!E44</f>
        <v>0.73542181382137983</v>
      </c>
    </row>
    <row r="88" spans="2:13" x14ac:dyDescent="0.2">
      <c r="B88" s="406" t="s">
        <v>762</v>
      </c>
      <c r="C88">
        <f>SUM(K77)</f>
        <v>1.45</v>
      </c>
      <c r="D88">
        <v>2</v>
      </c>
      <c r="E88">
        <f>C88/D88</f>
        <v>0.72499999999999998</v>
      </c>
      <c r="F88" s="136">
        <f>E88</f>
        <v>0.72499999999999998</v>
      </c>
      <c r="H88" s="482" t="s">
        <v>793</v>
      </c>
      <c r="I88" s="483">
        <f>F54</f>
        <v>6.9499999999999993</v>
      </c>
      <c r="J88" s="483">
        <f>F63</f>
        <v>4.05</v>
      </c>
      <c r="K88" s="483">
        <f>F72</f>
        <v>1.45</v>
      </c>
      <c r="L88" s="483">
        <f>F81</f>
        <v>0.72499999999999998</v>
      </c>
      <c r="M88" s="484">
        <f>F90</f>
        <v>0.72499999999999998</v>
      </c>
    </row>
    <row r="89" spans="2:13" ht="16" thickBot="1" x14ac:dyDescent="0.25">
      <c r="B89" s="506" t="s">
        <v>763</v>
      </c>
      <c r="C89" s="167">
        <f>SUM(K78:K80)</f>
        <v>1.1499999999999999</v>
      </c>
      <c r="D89" s="167">
        <v>2</v>
      </c>
      <c r="E89" s="167">
        <f>C89/D89</f>
        <v>0.57499999999999996</v>
      </c>
      <c r="F89" s="486">
        <f>E89</f>
        <v>0.57499999999999996</v>
      </c>
    </row>
    <row r="90" spans="2:13" x14ac:dyDescent="0.2">
      <c r="B90" s="1367">
        <f>Capacity!E44</f>
        <v>0.73542181382137983</v>
      </c>
      <c r="D90">
        <f>SUM(D85:D89)</f>
        <v>10</v>
      </c>
      <c r="E90">
        <f>SUM(E85:E89)</f>
        <v>3.4749999999999996</v>
      </c>
      <c r="F90" s="988">
        <f>MAX(F85:F89)*G49</f>
        <v>0.72499999999999998</v>
      </c>
    </row>
  </sheetData>
  <mergeCells count="16">
    <mergeCell ref="B74:F74"/>
    <mergeCell ref="B83:F83"/>
    <mergeCell ref="E16:P16"/>
    <mergeCell ref="C28:G28"/>
    <mergeCell ref="I72:J72"/>
    <mergeCell ref="B56:F56"/>
    <mergeCell ref="B47:G47"/>
    <mergeCell ref="B65:F65"/>
    <mergeCell ref="I75:J75"/>
    <mergeCell ref="I73:J73"/>
    <mergeCell ref="I80:J80"/>
    <mergeCell ref="I79:J79"/>
    <mergeCell ref="I77:J77"/>
    <mergeCell ref="I78:J78"/>
    <mergeCell ref="I76:J76"/>
    <mergeCell ref="I74:J74"/>
  </mergeCells>
  <conditionalFormatting sqref="F54">
    <cfRule type="cellIs" dxfId="13" priority="6" operator="lessThanOrEqual">
      <formula>$E$54</formula>
    </cfRule>
  </conditionalFormatting>
  <conditionalFormatting sqref="F63">
    <cfRule type="cellIs" dxfId="12" priority="5" operator="lessThanOrEqual">
      <formula>$B$63</formula>
    </cfRule>
  </conditionalFormatting>
  <conditionalFormatting sqref="F72">
    <cfRule type="cellIs" dxfId="11" priority="3" operator="lessThan">
      <formula>1.76</formula>
    </cfRule>
  </conditionalFormatting>
  <conditionalFormatting sqref="F81">
    <cfRule type="cellIs" dxfId="10" priority="2" operator="lessThan">
      <formula>1.02</formula>
    </cfRule>
  </conditionalFormatting>
  <conditionalFormatting sqref="F90">
    <cfRule type="cellIs" dxfId="9" priority="1" operator="lessThan">
      <formula>$B$90</formula>
    </cfRule>
  </conditionalFormatting>
  <hyperlinks>
    <hyperlink ref="B1" location="Index!A1" display="Back to Index" xr:uid="{7491239A-C81F-4F79-9F26-8C40F97F56A4}"/>
  </hyperlinks>
  <pageMargins left="0.7" right="0.7" top="0.75" bottom="0.75" header="0.3" footer="0.3"/>
  <drawing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6969A-1220-CE45-958C-0999DC961829}">
  <sheetPr published="0">
    <tabColor rgb="FFFF0000"/>
  </sheetPr>
  <dimension ref="B1:G179"/>
  <sheetViews>
    <sheetView showGridLines="0" topLeftCell="A141" zoomScale="120" zoomScaleNormal="120" workbookViewId="0">
      <selection activeCell="G161" sqref="G161"/>
    </sheetView>
  </sheetViews>
  <sheetFormatPr baseColWidth="10" defaultColWidth="11.5" defaultRowHeight="15" x14ac:dyDescent="0.2"/>
  <cols>
    <col min="1" max="1" width="1.83203125" customWidth="1"/>
    <col min="2" max="2" width="10.83203125" style="52"/>
    <col min="3" max="3" width="35" customWidth="1"/>
    <col min="5" max="5" width="13.6640625" bestFit="1" customWidth="1"/>
    <col min="6" max="6" width="13.6640625" customWidth="1"/>
    <col min="7" max="7" width="14.6640625" bestFit="1" customWidth="1"/>
  </cols>
  <sheetData>
    <row r="1" spans="2:7" x14ac:dyDescent="0.2">
      <c r="B1" s="1385" t="s">
        <v>37</v>
      </c>
    </row>
    <row r="2" spans="2:7" x14ac:dyDescent="0.2">
      <c r="B2" s="1385"/>
    </row>
    <row r="3" spans="2:7" x14ac:dyDescent="0.2">
      <c r="B3" s="1831" t="s">
        <v>17</v>
      </c>
      <c r="C3" s="1831"/>
      <c r="D3" s="1831"/>
      <c r="E3" s="1831"/>
      <c r="F3" s="1831"/>
      <c r="G3" s="1831"/>
    </row>
    <row r="5" spans="2:7" x14ac:dyDescent="0.2">
      <c r="B5" s="1819" t="s">
        <v>41</v>
      </c>
      <c r="C5" s="1819"/>
      <c r="D5" s="1819"/>
      <c r="E5" s="1819"/>
      <c r="F5" s="1819"/>
      <c r="G5" s="1819"/>
    </row>
    <row r="6" spans="2:7" x14ac:dyDescent="0.2">
      <c r="B6" s="1068" t="s">
        <v>794</v>
      </c>
      <c r="C6" s="1068" t="s">
        <v>795</v>
      </c>
      <c r="D6" s="1068" t="s">
        <v>409</v>
      </c>
      <c r="E6" s="1068" t="s">
        <v>79</v>
      </c>
      <c r="F6" s="1068"/>
      <c r="G6" s="1068" t="s">
        <v>796</v>
      </c>
    </row>
    <row r="7" spans="2:7" x14ac:dyDescent="0.2">
      <c r="B7" s="1411"/>
      <c r="C7" s="1412"/>
      <c r="D7" s="1412"/>
      <c r="E7" s="1412"/>
      <c r="F7" s="1412"/>
      <c r="G7" s="1413"/>
    </row>
    <row r="8" spans="2:7" s="5" customFormat="1" x14ac:dyDescent="0.2">
      <c r="B8" s="1414" t="s">
        <v>797</v>
      </c>
      <c r="C8" s="5" t="s">
        <v>798</v>
      </c>
      <c r="E8" s="1403">
        <f>'FE MK OM Bases_Y1-Y5'!D9</f>
        <v>84.778571428571439</v>
      </c>
      <c r="F8" s="1403"/>
      <c r="G8" s="1415">
        <f>'FE MK OM Bases_Y1-Y5'!D9</f>
        <v>84.778571428571439</v>
      </c>
    </row>
    <row r="9" spans="2:7" x14ac:dyDescent="0.2">
      <c r="B9" s="1416"/>
      <c r="G9" s="1417"/>
    </row>
    <row r="10" spans="2:7" x14ac:dyDescent="0.2">
      <c r="B10" s="1416" t="s">
        <v>797</v>
      </c>
      <c r="C10" t="s">
        <v>799</v>
      </c>
      <c r="E10" s="1404">
        <f>'FE MK OM Bases_Y1-Y5'!D11</f>
        <v>8384991.9999999991</v>
      </c>
      <c r="F10" s="1404"/>
      <c r="G10" s="1418">
        <f>'FE MK OM Bases_Y1-Y5'!D11</f>
        <v>8384991.9999999991</v>
      </c>
    </row>
    <row r="11" spans="2:7" x14ac:dyDescent="0.2">
      <c r="B11" s="1416" t="s">
        <v>797</v>
      </c>
      <c r="C11" t="s">
        <v>800</v>
      </c>
      <c r="D11" s="58">
        <f>0.15</f>
        <v>0.15</v>
      </c>
      <c r="E11" s="1404">
        <f>E10*D11</f>
        <v>1257748.7999999998</v>
      </c>
      <c r="F11" s="1405">
        <f>'FE MK OM Bases_Y1-Y5'!D12</f>
        <v>0.16374844537815125</v>
      </c>
      <c r="G11" s="1418">
        <f>G10*F11</f>
        <v>1373029.4045082352</v>
      </c>
    </row>
    <row r="12" spans="2:7" x14ac:dyDescent="0.2">
      <c r="B12" s="1416" t="s">
        <v>797</v>
      </c>
      <c r="C12" t="s">
        <v>801</v>
      </c>
      <c r="D12" s="58">
        <v>0.15</v>
      </c>
      <c r="E12" s="1404">
        <f>E11*D12</f>
        <v>188662.31999999998</v>
      </c>
      <c r="F12" s="1405">
        <f>'FE MK OM Bases_Y1-Y5'!D13</f>
        <v>7.0800000000000002E-2</v>
      </c>
      <c r="G12" s="1418">
        <f>G11*F12</f>
        <v>97210.481839183049</v>
      </c>
    </row>
    <row r="13" spans="2:7" x14ac:dyDescent="0.2">
      <c r="B13" s="1416" t="s">
        <v>797</v>
      </c>
      <c r="C13" t="s">
        <v>802</v>
      </c>
      <c r="D13" s="58">
        <v>0.15</v>
      </c>
      <c r="E13" s="1404">
        <f>E12*D13</f>
        <v>28299.347999999994</v>
      </c>
      <c r="F13" s="1405">
        <f>'FE MK OM Bases_Y1-Y5'!D14</f>
        <v>0.13999999999999999</v>
      </c>
      <c r="G13" s="1418">
        <f>G12*F13</f>
        <v>13609.467457485625</v>
      </c>
    </row>
    <row r="14" spans="2:7" x14ac:dyDescent="0.2">
      <c r="B14" s="1416" t="s">
        <v>797</v>
      </c>
      <c r="C14" t="s">
        <v>803</v>
      </c>
      <c r="D14" s="58">
        <v>0</v>
      </c>
      <c r="E14" s="1404">
        <f>E13*(1-D14)</f>
        <v>28299.347999999994</v>
      </c>
      <c r="F14" s="1405">
        <f>'FE MK OM Bases_Y1-Y5'!D15</f>
        <v>0</v>
      </c>
      <c r="G14" s="1418">
        <f>G13*(1-F14)</f>
        <v>13609.467457485625</v>
      </c>
    </row>
    <row r="15" spans="2:7" s="5" customFormat="1" x14ac:dyDescent="0.2">
      <c r="B15" s="1414" t="s">
        <v>797</v>
      </c>
      <c r="C15" s="5" t="s">
        <v>804</v>
      </c>
      <c r="E15" s="1406">
        <f>E14</f>
        <v>28299.347999999994</v>
      </c>
      <c r="F15" s="1406"/>
      <c r="G15" s="1419">
        <f>G14</f>
        <v>13609.467457485625</v>
      </c>
    </row>
    <row r="16" spans="2:7" x14ac:dyDescent="0.2">
      <c r="B16" s="1416"/>
      <c r="G16" s="1417"/>
    </row>
    <row r="17" spans="2:7" x14ac:dyDescent="0.2">
      <c r="B17" s="1416" t="s">
        <v>797</v>
      </c>
      <c r="C17" t="s">
        <v>805</v>
      </c>
      <c r="D17" s="58">
        <v>0.45</v>
      </c>
      <c r="E17" s="1407">
        <f>E8*D17</f>
        <v>38.150357142857146</v>
      </c>
      <c r="F17" s="1405">
        <f>G17/G8</f>
        <v>0.41608391608391621</v>
      </c>
      <c r="G17" s="1420">
        <f>'FE MK OM Bases_Y1-Y5'!D18</f>
        <v>35.275000000000013</v>
      </c>
    </row>
    <row r="18" spans="2:7" s="5" customFormat="1" x14ac:dyDescent="0.2">
      <c r="B18" s="1414" t="s">
        <v>806</v>
      </c>
      <c r="C18" s="5" t="s">
        <v>807</v>
      </c>
      <c r="E18" s="1403">
        <f>E8-E17</f>
        <v>46.628214285714293</v>
      </c>
      <c r="F18" s="1403"/>
      <c r="G18" s="1421">
        <f>'FE MK OM Bases_Y1-Y5'!D19</f>
        <v>49.503571428571426</v>
      </c>
    </row>
    <row r="19" spans="2:7" x14ac:dyDescent="0.2">
      <c r="B19" s="1416"/>
      <c r="E19" s="141"/>
      <c r="F19" s="141"/>
      <c r="G19" s="1422"/>
    </row>
    <row r="20" spans="2:7" s="5" customFormat="1" x14ac:dyDescent="0.2">
      <c r="B20" s="1414" t="s">
        <v>806</v>
      </c>
      <c r="C20" s="5" t="s">
        <v>808</v>
      </c>
      <c r="D20" s="1408">
        <v>0.4</v>
      </c>
      <c r="E20" s="1403">
        <f>E18*D20</f>
        <v>18.651285714285716</v>
      </c>
      <c r="F20" s="1409">
        <f>G20/G18</f>
        <v>0.61358180009357577</v>
      </c>
      <c r="G20" s="1421">
        <f>'FE MK OM Bases_Y1-Y5'!D21</f>
        <v>30.37449046820376</v>
      </c>
    </row>
    <row r="21" spans="2:7" x14ac:dyDescent="0.2">
      <c r="B21" s="1416" t="s">
        <v>806</v>
      </c>
      <c r="C21" s="96" t="s">
        <v>809</v>
      </c>
      <c r="D21" s="58">
        <v>0.6</v>
      </c>
      <c r="E21" s="1407">
        <f>E20*D21</f>
        <v>11.190771428571429</v>
      </c>
      <c r="F21" s="1405">
        <f>G21/G20</f>
        <v>0.49989417304754907</v>
      </c>
      <c r="G21" s="1420">
        <f>'FE MK OM Bases_Y1-Y5'!D22</f>
        <v>15.18403079434338</v>
      </c>
    </row>
    <row r="22" spans="2:7" x14ac:dyDescent="0.2">
      <c r="B22" s="1416" t="s">
        <v>806</v>
      </c>
      <c r="C22" s="96" t="s">
        <v>810</v>
      </c>
      <c r="D22" s="58">
        <v>0.2</v>
      </c>
      <c r="E22" s="1407">
        <f>E20*D22</f>
        <v>3.7302571428571434</v>
      </c>
      <c r="F22" s="1405">
        <f>G22/G20</f>
        <v>8.9037762444039423E-2</v>
      </c>
      <c r="G22" s="1420">
        <f>'FE MK OM Bases_Y1-Y5'!D23</f>
        <v>2.704476666666666</v>
      </c>
    </row>
    <row r="23" spans="2:7" x14ac:dyDescent="0.2">
      <c r="B23" s="1416" t="s">
        <v>811</v>
      </c>
      <c r="C23" s="96" t="s">
        <v>812</v>
      </c>
      <c r="D23" s="58">
        <v>0.2</v>
      </c>
      <c r="E23" s="1407">
        <f>E20*D23</f>
        <v>3.7302571428571434</v>
      </c>
      <c r="F23" s="1405">
        <f>G23/G20</f>
        <v>0.41106806450841149</v>
      </c>
      <c r="G23" s="1420">
        <f>'FE MK OM Bases_Y1-Y5'!D24</f>
        <v>12.485983007193713</v>
      </c>
    </row>
    <row r="24" spans="2:7" s="5" customFormat="1" x14ac:dyDescent="0.2">
      <c r="B24" s="1414" t="s">
        <v>806</v>
      </c>
      <c r="C24" s="5" t="s">
        <v>808</v>
      </c>
      <c r="E24" s="1403">
        <f>E20</f>
        <v>18.651285714285716</v>
      </c>
      <c r="F24" s="1403"/>
      <c r="G24" s="1421">
        <f>G20</f>
        <v>30.37449046820376</v>
      </c>
    </row>
    <row r="25" spans="2:7" ht="16" customHeight="1" x14ac:dyDescent="0.2">
      <c r="B25" s="1416"/>
      <c r="G25" s="1423"/>
    </row>
    <row r="26" spans="2:7" s="5" customFormat="1" x14ac:dyDescent="0.2">
      <c r="B26" s="1414" t="s">
        <v>811</v>
      </c>
      <c r="C26" s="1410" t="s">
        <v>813</v>
      </c>
      <c r="G26" s="1424">
        <f>'FE MK OM Bases_Y1-Y5'!D27</f>
        <v>19.133571428571425</v>
      </c>
    </row>
    <row r="27" spans="2:7" x14ac:dyDescent="0.2">
      <c r="B27" s="1416"/>
      <c r="G27" s="1424"/>
    </row>
    <row r="28" spans="2:7" x14ac:dyDescent="0.2">
      <c r="B28" s="1416" t="s">
        <v>811</v>
      </c>
      <c r="C28" t="s">
        <v>814</v>
      </c>
      <c r="D28" s="1405">
        <v>0.2</v>
      </c>
      <c r="E28" s="1407">
        <f>E18*D28</f>
        <v>9.3256428571428582</v>
      </c>
      <c r="F28" s="1405">
        <f>G28/G18</f>
        <v>0.19998557102662148</v>
      </c>
      <c r="G28" s="1420">
        <f>'FE MK OM Bases_Y1-Y5'!D29</f>
        <v>9.9</v>
      </c>
    </row>
    <row r="29" spans="2:7" x14ac:dyDescent="0.2">
      <c r="B29" s="1416" t="s">
        <v>811</v>
      </c>
      <c r="C29" t="s">
        <v>815</v>
      </c>
      <c r="D29" s="1405">
        <v>0.25</v>
      </c>
      <c r="E29" s="1407">
        <f>E18*D29</f>
        <v>11.657053571428573</v>
      </c>
      <c r="F29" s="1405">
        <f>G29/G18</f>
        <v>0.25008296659692664</v>
      </c>
      <c r="G29" s="1420">
        <f>'FE MK OM Bases_Y1-Y5'!D30</f>
        <v>12.38</v>
      </c>
    </row>
    <row r="30" spans="2:7" s="5" customFormat="1" x14ac:dyDescent="0.2">
      <c r="B30" s="1414" t="s">
        <v>811</v>
      </c>
      <c r="C30" s="5" t="s">
        <v>816</v>
      </c>
      <c r="D30" s="1409">
        <v>0.15</v>
      </c>
      <c r="E30" s="1403">
        <f>E18*D30</f>
        <v>6.9942321428571441</v>
      </c>
      <c r="F30" s="1409">
        <f>G30/G18</f>
        <v>-6.3631772599379549E-2</v>
      </c>
      <c r="G30" s="1421">
        <f>'FE MK OM Bases_Y1-Y5'!D31</f>
        <v>-3.15</v>
      </c>
    </row>
    <row r="31" spans="2:7" x14ac:dyDescent="0.2">
      <c r="B31" s="1416"/>
      <c r="G31" s="1424"/>
    </row>
    <row r="32" spans="2:7" x14ac:dyDescent="0.2">
      <c r="B32" s="1416" t="s">
        <v>817</v>
      </c>
      <c r="C32" t="s">
        <v>818</v>
      </c>
      <c r="E32" s="27">
        <f>E18*E15</f>
        <v>1319548.06269</v>
      </c>
      <c r="F32" s="27"/>
      <c r="G32" s="1425">
        <f>'FE MK OM Bases_Y1-Y5'!D33</f>
        <v>673694.10357142857</v>
      </c>
    </row>
    <row r="33" spans="2:7" x14ac:dyDescent="0.2">
      <c r="B33" s="1416" t="s">
        <v>817</v>
      </c>
      <c r="C33" t="s">
        <v>819</v>
      </c>
      <c r="E33" s="27">
        <f>E30*E15</f>
        <v>197932.20940349999</v>
      </c>
      <c r="F33" s="27"/>
      <c r="G33" s="1425">
        <f>'FE MK OM Bases_Y1-Y5'!D34</f>
        <v>-42868.35</v>
      </c>
    </row>
    <row r="34" spans="2:7" s="5" customFormat="1" x14ac:dyDescent="0.2">
      <c r="B34" s="1414" t="s">
        <v>817</v>
      </c>
      <c r="C34" s="5" t="s">
        <v>820</v>
      </c>
      <c r="E34" s="1409">
        <f>E33/E32</f>
        <v>0.15</v>
      </c>
      <c r="F34" s="1409"/>
      <c r="G34" s="1426">
        <f>'FE MK OM Bases_Y1-Y5'!D35</f>
        <v>-6.3631772599379549E-2</v>
      </c>
    </row>
    <row r="35" spans="2:7" x14ac:dyDescent="0.2">
      <c r="B35" s="1416"/>
      <c r="G35" s="1424"/>
    </row>
    <row r="36" spans="2:7" x14ac:dyDescent="0.2">
      <c r="B36" s="1416" t="s">
        <v>811</v>
      </c>
      <c r="C36" t="s">
        <v>821</v>
      </c>
      <c r="G36" s="1425">
        <f>'FE MK OM Bases_Y1-Y5'!D37</f>
        <v>10000</v>
      </c>
    </row>
    <row r="37" spans="2:7" ht="16" customHeight="1" x14ac:dyDescent="0.2">
      <c r="B37" s="1416" t="s">
        <v>817</v>
      </c>
      <c r="C37" t="s">
        <v>822</v>
      </c>
      <c r="G37" s="1425">
        <f>'FE MK OM Bases_Y1-Y5'!D38</f>
        <v>-52868.35</v>
      </c>
    </row>
    <row r="38" spans="2:7" s="5" customFormat="1" x14ac:dyDescent="0.2">
      <c r="B38" s="1427" t="s">
        <v>817</v>
      </c>
      <c r="C38" s="1428" t="s">
        <v>823</v>
      </c>
      <c r="D38" s="1428"/>
      <c r="E38" s="1428"/>
      <c r="F38" s="1428"/>
      <c r="G38" s="1429">
        <f>'FE MK OM Bases_Y1-Y5'!D39</f>
        <v>-7.8475304622277461E-2</v>
      </c>
    </row>
    <row r="40" spans="2:7" x14ac:dyDescent="0.2">
      <c r="B40" s="1819" t="s">
        <v>42</v>
      </c>
      <c r="C40" s="1819"/>
      <c r="D40" s="1819"/>
      <c r="E40" s="1819"/>
      <c r="F40" s="1819"/>
      <c r="G40" s="1819"/>
    </row>
    <row r="41" spans="2:7" x14ac:dyDescent="0.2">
      <c r="B41" s="1068" t="s">
        <v>794</v>
      </c>
      <c r="C41" s="1068" t="s">
        <v>795</v>
      </c>
      <c r="D41" s="1068" t="s">
        <v>409</v>
      </c>
      <c r="E41" s="1068" t="s">
        <v>79</v>
      </c>
      <c r="F41" s="1068"/>
      <c r="G41" s="1068" t="s">
        <v>796</v>
      </c>
    </row>
    <row r="42" spans="2:7" x14ac:dyDescent="0.2">
      <c r="B42" s="1411"/>
      <c r="C42" s="1412"/>
      <c r="D42" s="1412"/>
      <c r="E42" s="1412"/>
      <c r="F42" s="1412"/>
      <c r="G42" s="1413"/>
    </row>
    <row r="43" spans="2:7" x14ac:dyDescent="0.2">
      <c r="B43" s="1414" t="s">
        <v>797</v>
      </c>
      <c r="C43" s="5" t="s">
        <v>798</v>
      </c>
      <c r="D43" s="5"/>
      <c r="E43" s="1403">
        <f>'FE MK OM Bases_Y1-Y5'!E9</f>
        <v>86.661764705882362</v>
      </c>
      <c r="F43" s="1403"/>
      <c r="G43" s="1415">
        <f>'FE MK OM Bases_Y1-Y5'!E9</f>
        <v>86.661764705882362</v>
      </c>
    </row>
    <row r="44" spans="2:7" x14ac:dyDescent="0.2">
      <c r="B44" s="1416"/>
      <c r="G44" s="1417"/>
    </row>
    <row r="45" spans="2:7" x14ac:dyDescent="0.2">
      <c r="B45" s="1416" t="s">
        <v>797</v>
      </c>
      <c r="C45" t="s">
        <v>799</v>
      </c>
      <c r="E45" s="1404">
        <f>'FE MK OM Bases_Y1-Y5'!E11</f>
        <v>8566206.5786870942</v>
      </c>
      <c r="F45" s="1404"/>
      <c r="G45" s="1418">
        <f>'FE MK OM Bases_Y1-Y5'!E11</f>
        <v>8566206.5786870942</v>
      </c>
    </row>
    <row r="46" spans="2:7" x14ac:dyDescent="0.2">
      <c r="B46" s="1416" t="s">
        <v>797</v>
      </c>
      <c r="C46" t="s">
        <v>800</v>
      </c>
      <c r="D46" s="58">
        <f>0.15</f>
        <v>0.15</v>
      </c>
      <c r="E46" s="1404">
        <f>E45*D46</f>
        <v>1284930.9868030641</v>
      </c>
      <c r="F46" s="1430">
        <f>'FE MK OM Bases_Y1-Y5'!E12</f>
        <v>0.16017037815126051</v>
      </c>
      <c r="G46" s="1431">
        <f>G45*F46</f>
        <v>1372052.5470301274</v>
      </c>
    </row>
    <row r="47" spans="2:7" x14ac:dyDescent="0.2">
      <c r="B47" s="1416" t="s">
        <v>797</v>
      </c>
      <c r="C47" t="s">
        <v>801</v>
      </c>
      <c r="D47" s="58">
        <v>0.15</v>
      </c>
      <c r="E47" s="1404">
        <f>E46*D47</f>
        <v>192739.6480204596</v>
      </c>
      <c r="F47" s="1430">
        <f>'FE MK OM Bases_Y1-Y5'!E13</f>
        <v>0.11552788037831878</v>
      </c>
      <c r="G47" s="1431">
        <f>G46*F47</f>
        <v>158510.32252606415</v>
      </c>
    </row>
    <row r="48" spans="2:7" x14ac:dyDescent="0.2">
      <c r="B48" s="1416" t="s">
        <v>797</v>
      </c>
      <c r="C48" t="s">
        <v>802</v>
      </c>
      <c r="D48" s="58">
        <v>0.15</v>
      </c>
      <c r="E48" s="1404">
        <f>E47*D48</f>
        <v>28910.947203068939</v>
      </c>
      <c r="F48" s="1430">
        <f>'FE MK OM Bases_Y1-Y5'!E14</f>
        <v>0.16999999999999998</v>
      </c>
      <c r="G48" s="1431">
        <f>G47*F48</f>
        <v>26946.754829430902</v>
      </c>
    </row>
    <row r="49" spans="2:7" x14ac:dyDescent="0.2">
      <c r="B49" s="1416" t="s">
        <v>797</v>
      </c>
      <c r="C49" t="s">
        <v>803</v>
      </c>
      <c r="D49" s="58">
        <v>0</v>
      </c>
      <c r="E49" s="1404">
        <f>E48*(1-D49)</f>
        <v>28910.947203068939</v>
      </c>
      <c r="F49" s="1430">
        <f>'FE MK OM Bases_Y1-Y5'!E15</f>
        <v>0</v>
      </c>
      <c r="G49" s="1418">
        <f>G48*(1-F49)</f>
        <v>26946.754829430902</v>
      </c>
    </row>
    <row r="50" spans="2:7" x14ac:dyDescent="0.2">
      <c r="B50" s="1414" t="s">
        <v>797</v>
      </c>
      <c r="C50" s="5" t="s">
        <v>804</v>
      </c>
      <c r="D50" s="5"/>
      <c r="E50" s="1406">
        <f>E49</f>
        <v>28910.947203068939</v>
      </c>
      <c r="F50" s="1406"/>
      <c r="G50" s="1419">
        <f>G49</f>
        <v>26946.754829430902</v>
      </c>
    </row>
    <row r="51" spans="2:7" x14ac:dyDescent="0.2">
      <c r="B51" s="1416"/>
      <c r="G51" s="1417"/>
    </row>
    <row r="52" spans="2:7" x14ac:dyDescent="0.2">
      <c r="B52" s="1416" t="s">
        <v>797</v>
      </c>
      <c r="C52" t="s">
        <v>805</v>
      </c>
      <c r="D52" s="58">
        <v>0.45</v>
      </c>
      <c r="E52" s="1407">
        <f>E43*D52</f>
        <v>38.997794117647061</v>
      </c>
      <c r="F52" s="1405">
        <f>G52/G43</f>
        <v>0.43239436619718308</v>
      </c>
      <c r="G52" s="1420">
        <f>'FE MK OM Bases_Y1-Y5'!E18</f>
        <v>37.472058823529416</v>
      </c>
    </row>
    <row r="53" spans="2:7" x14ac:dyDescent="0.2">
      <c r="B53" s="1414" t="s">
        <v>806</v>
      </c>
      <c r="C53" s="5" t="s">
        <v>807</v>
      </c>
      <c r="D53" s="5"/>
      <c r="E53" s="1403">
        <f>E43-E52</f>
        <v>47.663970588235301</v>
      </c>
      <c r="F53" s="1403"/>
      <c r="G53" s="1421">
        <f>'FE MK OM Bases_Y1-Y5'!E19</f>
        <v>49.189705882352946</v>
      </c>
    </row>
    <row r="54" spans="2:7" x14ac:dyDescent="0.2">
      <c r="B54" s="1416"/>
      <c r="E54" s="141"/>
      <c r="F54" s="141"/>
      <c r="G54" s="1420"/>
    </row>
    <row r="55" spans="2:7" x14ac:dyDescent="0.2">
      <c r="B55" s="1414" t="s">
        <v>806</v>
      </c>
      <c r="C55" s="5" t="s">
        <v>808</v>
      </c>
      <c r="D55" s="1408">
        <v>0.4</v>
      </c>
      <c r="E55" s="1403">
        <f>E53*D55</f>
        <v>19.065588235294122</v>
      </c>
      <c r="F55" s="1409">
        <f>G55/G53</f>
        <v>0.54042202099516068</v>
      </c>
      <c r="G55" s="1432">
        <f>'FE MK OM Bases_Y1-Y5'!E21</f>
        <v>26.583200265098725</v>
      </c>
    </row>
    <row r="56" spans="2:7" x14ac:dyDescent="0.2">
      <c r="B56" s="1416" t="s">
        <v>806</v>
      </c>
      <c r="C56" s="96" t="s">
        <v>809</v>
      </c>
      <c r="D56" s="58">
        <v>0.6</v>
      </c>
      <c r="E56" s="1407">
        <f>E55*D56</f>
        <v>11.439352941176473</v>
      </c>
      <c r="F56" s="1405">
        <f>G56/G55</f>
        <v>0.57118897058751061</v>
      </c>
      <c r="G56" s="1420">
        <f>'FE MK OM Bases_Y1-Y5'!E22</f>
        <v>15.18403079434338</v>
      </c>
    </row>
    <row r="57" spans="2:7" x14ac:dyDescent="0.2">
      <c r="B57" s="1416" t="s">
        <v>806</v>
      </c>
      <c r="C57" s="96" t="s">
        <v>810</v>
      </c>
      <c r="D57" s="58">
        <v>0.2</v>
      </c>
      <c r="E57" s="1407">
        <f>E55*D57</f>
        <v>3.8131176470588244</v>
      </c>
      <c r="F57" s="1405">
        <f>G57/G55</f>
        <v>0.12216718965157852</v>
      </c>
      <c r="G57" s="1420">
        <f>'FE MK OM Bases_Y1-Y5'!E23</f>
        <v>3.2475948683322082</v>
      </c>
    </row>
    <row r="58" spans="2:7" x14ac:dyDescent="0.2">
      <c r="B58" s="1416" t="s">
        <v>811</v>
      </c>
      <c r="C58" s="96" t="s">
        <v>812</v>
      </c>
      <c r="D58" s="58">
        <v>0.2</v>
      </c>
      <c r="E58" s="1407">
        <f>E55*D58</f>
        <v>3.8131176470588244</v>
      </c>
      <c r="F58" s="1405">
        <f>G58/G55</f>
        <v>0.30664383976091081</v>
      </c>
      <c r="G58" s="1420">
        <f>'FE MK OM Bases_Y1-Y5'!E24</f>
        <v>8.1515746024231355</v>
      </c>
    </row>
    <row r="59" spans="2:7" x14ac:dyDescent="0.2">
      <c r="B59" s="1414" t="s">
        <v>806</v>
      </c>
      <c r="C59" s="5" t="s">
        <v>808</v>
      </c>
      <c r="D59" s="5"/>
      <c r="E59" s="1403">
        <f>E55</f>
        <v>19.065588235294122</v>
      </c>
      <c r="F59" s="1403"/>
      <c r="G59" s="1432">
        <f>'FE MK OM Bases_Y1-Y5'!E25</f>
        <v>26.58</v>
      </c>
    </row>
    <row r="60" spans="2:7" x14ac:dyDescent="0.2">
      <c r="B60" s="1416"/>
      <c r="G60" s="1420"/>
    </row>
    <row r="61" spans="2:7" x14ac:dyDescent="0.2">
      <c r="B61" s="1414" t="s">
        <v>811</v>
      </c>
      <c r="C61" s="1410" t="s">
        <v>813</v>
      </c>
      <c r="D61" s="5"/>
      <c r="E61" s="5"/>
      <c r="F61" s="5"/>
      <c r="G61" s="1421">
        <f>'FE MK OM Bases_Y1-Y5'!E27</f>
        <v>22.609705882352948</v>
      </c>
    </row>
    <row r="62" spans="2:7" x14ac:dyDescent="0.2">
      <c r="B62" s="1416"/>
      <c r="G62" s="1420"/>
    </row>
    <row r="63" spans="2:7" x14ac:dyDescent="0.2">
      <c r="B63" s="1416" t="s">
        <v>811</v>
      </c>
      <c r="C63" t="s">
        <v>814</v>
      </c>
      <c r="D63" s="1405">
        <v>0.2</v>
      </c>
      <c r="E63" s="1407">
        <f>E53*D63</f>
        <v>9.532794117647061</v>
      </c>
      <c r="F63" s="1405">
        <f>G63/G53</f>
        <v>0.20004185476396899</v>
      </c>
      <c r="G63" s="1420">
        <f>'FE MK OM Bases_Y1-Y5'!E29</f>
        <v>9.84</v>
      </c>
    </row>
    <row r="64" spans="2:7" x14ac:dyDescent="0.2">
      <c r="B64" s="1416" t="s">
        <v>811</v>
      </c>
      <c r="C64" t="s">
        <v>815</v>
      </c>
      <c r="D64" s="1405">
        <v>0.25</v>
      </c>
      <c r="E64" s="1407">
        <f>E53*D64</f>
        <v>11.915992647058825</v>
      </c>
      <c r="F64" s="1405">
        <f>G64/G53</f>
        <v>0.25005231845496129</v>
      </c>
      <c r="G64" s="1420">
        <f>'FE MK OM Bases_Y1-Y5'!E30</f>
        <v>12.3</v>
      </c>
    </row>
    <row r="65" spans="2:7" x14ac:dyDescent="0.2">
      <c r="B65" s="1414" t="s">
        <v>811</v>
      </c>
      <c r="C65" s="5" t="s">
        <v>816</v>
      </c>
      <c r="D65" s="1409">
        <v>0.15</v>
      </c>
      <c r="E65" s="1403">
        <f>E53*D65</f>
        <v>7.1495955882352948</v>
      </c>
      <c r="F65" s="1409">
        <f>G65/G53</f>
        <v>9.5548446889294134E-3</v>
      </c>
      <c r="G65" s="1421">
        <f>'FE MK OM Bases_Y1-Y5'!E31</f>
        <v>0.47</v>
      </c>
    </row>
    <row r="66" spans="2:7" x14ac:dyDescent="0.2">
      <c r="B66" s="1416"/>
      <c r="G66" s="1420"/>
    </row>
    <row r="67" spans="2:7" x14ac:dyDescent="0.2">
      <c r="B67" s="1416" t="s">
        <v>817</v>
      </c>
      <c r="C67" t="s">
        <v>818</v>
      </c>
      <c r="E67" s="27">
        <f>E53*E50</f>
        <v>1378010.5371651016</v>
      </c>
      <c r="F67" s="27"/>
      <c r="G67" s="1433">
        <f>'FE MK OM Bases_Y1-Y5'!E33</f>
        <v>1325502.9445435798</v>
      </c>
    </row>
    <row r="68" spans="2:7" x14ac:dyDescent="0.2">
      <c r="B68" s="1416" t="s">
        <v>817</v>
      </c>
      <c r="C68" t="s">
        <v>819</v>
      </c>
      <c r="E68" s="27">
        <f>E65*E50</f>
        <v>206701.58057476522</v>
      </c>
      <c r="F68" s="27"/>
      <c r="G68" s="1433">
        <f>'FE MK OM Bases_Y1-Y5'!E34</f>
        <v>12664.974769832523</v>
      </c>
    </row>
    <row r="69" spans="2:7" x14ac:dyDescent="0.2">
      <c r="B69" s="1414" t="s">
        <v>817</v>
      </c>
      <c r="C69" s="5" t="s">
        <v>820</v>
      </c>
      <c r="D69" s="5"/>
      <c r="E69" s="1409">
        <f>E68/E67</f>
        <v>0.15</v>
      </c>
      <c r="F69" s="1409"/>
      <c r="G69" s="1434">
        <f>'FE MK OM Bases_Y1-Y5'!E35</f>
        <v>9.5548446889294134E-3</v>
      </c>
    </row>
    <row r="70" spans="2:7" x14ac:dyDescent="0.2">
      <c r="B70" s="1416"/>
      <c r="G70" s="1420"/>
    </row>
    <row r="71" spans="2:7" x14ac:dyDescent="0.2">
      <c r="B71" s="1416" t="s">
        <v>811</v>
      </c>
      <c r="C71" t="s">
        <v>821</v>
      </c>
      <c r="G71" s="1420">
        <f>'FE MK OM Bases_Y1-Y5'!E37</f>
        <v>10000</v>
      </c>
    </row>
    <row r="72" spans="2:7" x14ac:dyDescent="0.2">
      <c r="B72" s="1416" t="s">
        <v>817</v>
      </c>
      <c r="C72" t="s">
        <v>822</v>
      </c>
      <c r="G72" s="1420">
        <f>'FE MK OM Bases_Y1-Y5'!E38</f>
        <v>2664.9747698325227</v>
      </c>
    </row>
    <row r="73" spans="2:7" x14ac:dyDescent="0.2">
      <c r="B73" s="1427" t="s">
        <v>817</v>
      </c>
      <c r="C73" s="1428" t="s">
        <v>823</v>
      </c>
      <c r="D73" s="1428"/>
      <c r="E73" s="1428"/>
      <c r="F73" s="1428"/>
      <c r="G73" s="1435">
        <f>'FE MK OM Bases_Y1-Y5'!E39</f>
        <v>2.0105385512743414E-3</v>
      </c>
    </row>
    <row r="75" spans="2:7" x14ac:dyDescent="0.2">
      <c r="B75" s="1807" t="s">
        <v>43</v>
      </c>
      <c r="C75" s="1807"/>
      <c r="D75" s="1807"/>
      <c r="E75" s="1807"/>
      <c r="F75" s="1807"/>
      <c r="G75" s="1807"/>
    </row>
    <row r="76" spans="2:7" x14ac:dyDescent="0.2">
      <c r="B76" s="1051" t="s">
        <v>794</v>
      </c>
      <c r="C76" s="1051" t="s">
        <v>795</v>
      </c>
      <c r="D76" s="1051" t="s">
        <v>409</v>
      </c>
      <c r="E76" s="1051" t="s">
        <v>79</v>
      </c>
      <c r="F76" s="1051"/>
      <c r="G76" s="1051" t="s">
        <v>796</v>
      </c>
    </row>
    <row r="77" spans="2:7" x14ac:dyDescent="0.2">
      <c r="B77" s="1416"/>
      <c r="G77" s="1422"/>
    </row>
    <row r="78" spans="2:7" x14ac:dyDescent="0.2">
      <c r="B78" s="1414" t="s">
        <v>797</v>
      </c>
      <c r="C78" s="5" t="s">
        <v>798</v>
      </c>
      <c r="D78" s="5"/>
      <c r="E78" s="1403">
        <f>'FE MK OM Bases_Y1-Y5'!F9</f>
        <v>85.094394687154605</v>
      </c>
      <c r="F78" s="1403"/>
      <c r="G78" s="1421">
        <f>'FE MK OM Bases_Y1-Y5'!F9</f>
        <v>85.094394687154605</v>
      </c>
    </row>
    <row r="79" spans="2:7" x14ac:dyDescent="0.2">
      <c r="B79" s="1416"/>
      <c r="G79" s="1417"/>
    </row>
    <row r="80" spans="2:7" x14ac:dyDescent="0.2">
      <c r="B80" s="1416" t="s">
        <v>797</v>
      </c>
      <c r="C80" t="s">
        <v>799</v>
      </c>
      <c r="E80" s="1404">
        <f>'FE MK OM Bases_Y1-Y5'!F11</f>
        <v>8751337.5264689643</v>
      </c>
      <c r="F80" s="1404"/>
      <c r="G80" s="1418">
        <f>'FE MK OM Bases_Y1-Y5'!F11</f>
        <v>8751337.5264689643</v>
      </c>
    </row>
    <row r="81" spans="2:7" x14ac:dyDescent="0.2">
      <c r="B81" s="1416" t="s">
        <v>797</v>
      </c>
      <c r="C81" t="s">
        <v>800</v>
      </c>
      <c r="D81" s="58">
        <v>0.15</v>
      </c>
      <c r="E81" s="1404">
        <f>E80*D81</f>
        <v>1312700.6289703446</v>
      </c>
      <c r="F81" s="1405">
        <f>'FE MK OM Bases_Y1-Y5'!F12</f>
        <v>0.16314838118684324</v>
      </c>
      <c r="G81" s="1418">
        <f>G80*F81</f>
        <v>1427766.5506630845</v>
      </c>
    </row>
    <row r="82" spans="2:7" x14ac:dyDescent="0.2">
      <c r="B82" s="1416" t="s">
        <v>797</v>
      </c>
      <c r="C82" t="s">
        <v>801</v>
      </c>
      <c r="D82" s="58">
        <v>0.15</v>
      </c>
      <c r="E82" s="1404">
        <f>E81*D82</f>
        <v>196905.09434555168</v>
      </c>
      <c r="F82" s="1405">
        <f>'FE MK OM Bases_Y1-Y5'!F13</f>
        <v>0.22599816595833735</v>
      </c>
      <c r="G82" s="1418">
        <f>G81*F82</f>
        <v>322672.62186651863</v>
      </c>
    </row>
    <row r="83" spans="2:7" x14ac:dyDescent="0.2">
      <c r="B83" s="1416" t="s">
        <v>797</v>
      </c>
      <c r="C83" t="s">
        <v>802</v>
      </c>
      <c r="D83" s="58">
        <v>0.15</v>
      </c>
      <c r="E83" s="1404">
        <f>E82*D83</f>
        <v>29535.764151832751</v>
      </c>
      <c r="F83" s="1405">
        <f>'FE MK OM Bases_Y1-Y5'!F14</f>
        <v>0.22</v>
      </c>
      <c r="G83" s="1418">
        <f>G82*F83</f>
        <v>70987.976810634093</v>
      </c>
    </row>
    <row r="84" spans="2:7" x14ac:dyDescent="0.2">
      <c r="B84" s="1416" t="s">
        <v>797</v>
      </c>
      <c r="C84" t="s">
        <v>803</v>
      </c>
      <c r="D84" s="58">
        <v>0</v>
      </c>
      <c r="E84" s="1404">
        <f>E83*(1-D84)</f>
        <v>29535.764151832751</v>
      </c>
      <c r="F84" s="1405">
        <f>'FE MK OM Bases_Y1-Y5'!F15</f>
        <v>0</v>
      </c>
      <c r="G84" s="1418">
        <f>G83*(1-F84)</f>
        <v>70987.976810634093</v>
      </c>
    </row>
    <row r="85" spans="2:7" x14ac:dyDescent="0.2">
      <c r="B85" s="1414" t="s">
        <v>797</v>
      </c>
      <c r="C85" s="5" t="s">
        <v>804</v>
      </c>
      <c r="D85" s="5"/>
      <c r="E85" s="1406">
        <f>E84</f>
        <v>29535.764151832751</v>
      </c>
      <c r="F85" s="1406"/>
      <c r="G85" s="1419">
        <f>G84</f>
        <v>70987.976810634093</v>
      </c>
    </row>
    <row r="86" spans="2:7" x14ac:dyDescent="0.2">
      <c r="B86" s="1416"/>
      <c r="G86" s="1417"/>
    </row>
    <row r="87" spans="2:7" x14ac:dyDescent="0.2">
      <c r="B87" s="1416" t="s">
        <v>797</v>
      </c>
      <c r="C87" t="s">
        <v>805</v>
      </c>
      <c r="D87" s="58">
        <v>0.45</v>
      </c>
      <c r="E87" s="1407">
        <f>E78*D87</f>
        <v>38.292477609219574</v>
      </c>
      <c r="F87" s="1405">
        <f>G87/G78</f>
        <v>0.45489972894511232</v>
      </c>
      <c r="G87" s="1420">
        <f>'FE MK OM Bases_Y1-Y5'!F18</f>
        <v>38.709417077935036</v>
      </c>
    </row>
    <row r="88" spans="2:7" x14ac:dyDescent="0.2">
      <c r="B88" s="1414" t="s">
        <v>806</v>
      </c>
      <c r="C88" s="5" t="s">
        <v>807</v>
      </c>
      <c r="D88" s="5"/>
      <c r="E88" s="1403">
        <f>E78-E87</f>
        <v>46.80191707793503</v>
      </c>
      <c r="F88" s="1403"/>
      <c r="G88" s="1421">
        <f>'FE MK OM Bases_Y1-Y5'!F19</f>
        <v>46.384977609219568</v>
      </c>
    </row>
    <row r="89" spans="2:7" x14ac:dyDescent="0.2">
      <c r="B89" s="1416"/>
      <c r="E89" s="141"/>
      <c r="F89" s="141"/>
      <c r="G89" s="1420"/>
    </row>
    <row r="90" spans="2:7" x14ac:dyDescent="0.2">
      <c r="B90" s="1414" t="s">
        <v>806</v>
      </c>
      <c r="C90" s="5" t="s">
        <v>808</v>
      </c>
      <c r="D90" s="1408">
        <v>0.4</v>
      </c>
      <c r="E90" s="1403">
        <f>E88*D90</f>
        <v>18.720766831174014</v>
      </c>
      <c r="F90" s="1409">
        <f>G90/G88</f>
        <v>0.45951406430747804</v>
      </c>
      <c r="G90" s="1421">
        <f>'FE MK OM Bases_Y1-Y5'!F21</f>
        <v>21.314549584023851</v>
      </c>
    </row>
    <row r="91" spans="2:7" x14ac:dyDescent="0.2">
      <c r="B91" s="1416" t="s">
        <v>806</v>
      </c>
      <c r="C91" s="96" t="s">
        <v>809</v>
      </c>
      <c r="D91" s="58">
        <v>0.6</v>
      </c>
      <c r="E91" s="1407">
        <f>E90*D91</f>
        <v>11.232460098704408</v>
      </c>
      <c r="F91" s="1405">
        <f>G91/G90</f>
        <v>0.71237868454534214</v>
      </c>
      <c r="G91" s="1420">
        <f>'FE MK OM Bases_Y1-Y5'!F22</f>
        <v>15.18403079434338</v>
      </c>
    </row>
    <row r="92" spans="2:7" x14ac:dyDescent="0.2">
      <c r="B92" s="1416" t="s">
        <v>806</v>
      </c>
      <c r="C92" s="96" t="s">
        <v>810</v>
      </c>
      <c r="D92" s="58">
        <v>0.2</v>
      </c>
      <c r="E92" s="1407">
        <f>E90*D92</f>
        <v>3.7441533662348032</v>
      </c>
      <c r="F92" s="1405">
        <f>G92/G90</f>
        <v>0.14041952267800767</v>
      </c>
      <c r="G92" s="1420">
        <f>'FE MK OM Bases_Y1-Y5'!F23</f>
        <v>2.9929788786853559</v>
      </c>
    </row>
    <row r="93" spans="2:7" x14ac:dyDescent="0.2">
      <c r="B93" s="1416" t="s">
        <v>811</v>
      </c>
      <c r="C93" s="96" t="s">
        <v>812</v>
      </c>
      <c r="D93" s="58">
        <v>0.2</v>
      </c>
      <c r="E93" s="1407">
        <f>E90*D93</f>
        <v>3.7441533662348032</v>
      </c>
      <c r="F93" s="1405">
        <f>G93/G90</f>
        <v>0.1472017927766503</v>
      </c>
      <c r="G93" s="1420">
        <f>'FE MK OM Bases_Y1-Y5'!F24</f>
        <v>3.137539910995117</v>
      </c>
    </row>
    <row r="94" spans="2:7" x14ac:dyDescent="0.2">
      <c r="B94" s="1414" t="s">
        <v>806</v>
      </c>
      <c r="C94" s="5" t="s">
        <v>808</v>
      </c>
      <c r="D94" s="5"/>
      <c r="E94" s="1403">
        <f>E90</f>
        <v>18.720766831174014</v>
      </c>
      <c r="F94" s="1403"/>
      <c r="G94" s="1421">
        <f>'FE MK OM Bases_Y1-Y5'!F25</f>
        <v>21.31</v>
      </c>
    </row>
    <row r="95" spans="2:7" x14ac:dyDescent="0.2">
      <c r="B95" s="1416"/>
      <c r="G95" s="1420"/>
    </row>
    <row r="96" spans="2:7" x14ac:dyDescent="0.2">
      <c r="B96" s="1414" t="s">
        <v>811</v>
      </c>
      <c r="C96" s="1410" t="s">
        <v>813</v>
      </c>
      <c r="D96" s="5"/>
      <c r="E96" s="5"/>
      <c r="F96" s="5"/>
      <c r="G96" s="1421">
        <f>'FE MK OM Bases_Y1-Y5'!F27</f>
        <v>25.07497760921957</v>
      </c>
    </row>
    <row r="97" spans="2:7" x14ac:dyDescent="0.2">
      <c r="B97" s="1416"/>
      <c r="G97" s="1420"/>
    </row>
    <row r="98" spans="2:7" x14ac:dyDescent="0.2">
      <c r="B98" s="1416" t="s">
        <v>811</v>
      </c>
      <c r="C98" t="s">
        <v>814</v>
      </c>
      <c r="D98" s="1405">
        <v>0.2</v>
      </c>
      <c r="E98" s="1407">
        <f>E88*D98</f>
        <v>9.3603834155870071</v>
      </c>
      <c r="F98" s="1405">
        <f>G98/G88</f>
        <v>0.20006477265509101</v>
      </c>
      <c r="G98" s="1420">
        <f>'FE MK OM Bases_Y1-Y5'!F29</f>
        <v>9.2799999999999994</v>
      </c>
    </row>
    <row r="99" spans="2:7" x14ac:dyDescent="0.2">
      <c r="B99" s="1416" t="s">
        <v>811</v>
      </c>
      <c r="C99" t="s">
        <v>815</v>
      </c>
      <c r="D99" s="1405">
        <v>0.25</v>
      </c>
      <c r="E99" s="1407">
        <f>E88*D99</f>
        <v>11.700479269483758</v>
      </c>
      <c r="F99" s="1405">
        <f>G99/G88</f>
        <v>0.25008096581886374</v>
      </c>
      <c r="G99" s="1420">
        <f>'FE MK OM Bases_Y1-Y5'!F30</f>
        <v>11.6</v>
      </c>
    </row>
    <row r="100" spans="2:7" x14ac:dyDescent="0.2">
      <c r="B100" s="1414" t="s">
        <v>811</v>
      </c>
      <c r="C100" s="5" t="s">
        <v>816</v>
      </c>
      <c r="D100" s="1409">
        <v>0.15</v>
      </c>
      <c r="E100" s="1403">
        <f>E88*D100</f>
        <v>7.020287561690254</v>
      </c>
      <c r="F100" s="1409">
        <f>G100/G88</f>
        <v>9.0330969550089596E-2</v>
      </c>
      <c r="G100" s="1420">
        <f>'FE MK OM Bases_Y1-Y5'!F31</f>
        <v>4.1900000000000004</v>
      </c>
    </row>
    <row r="101" spans="2:7" x14ac:dyDescent="0.2">
      <c r="B101" s="1416"/>
      <c r="G101" s="1420"/>
    </row>
    <row r="102" spans="2:7" x14ac:dyDescent="0.2">
      <c r="B102" s="1416" t="s">
        <v>817</v>
      </c>
      <c r="C102" t="s">
        <v>818</v>
      </c>
      <c r="E102" s="27">
        <f>E88*E85</f>
        <v>1382330.3846675225</v>
      </c>
      <c r="F102" s="27"/>
      <c r="G102" s="1425">
        <f>'FE MK OM Bases_Y1-Y5'!F33</f>
        <v>3292775.7148850602</v>
      </c>
    </row>
    <row r="103" spans="2:7" x14ac:dyDescent="0.2">
      <c r="B103" s="1416" t="s">
        <v>817</v>
      </c>
      <c r="C103" t="s">
        <v>819</v>
      </c>
      <c r="E103" s="27">
        <f>E100*E85</f>
        <v>207349.55770012835</v>
      </c>
      <c r="F103" s="27"/>
      <c r="G103" s="1425">
        <f>'FE MK OM Bases_Y1-Y5'!F34</f>
        <v>297439.62283655687</v>
      </c>
    </row>
    <row r="104" spans="2:7" x14ac:dyDescent="0.2">
      <c r="B104" s="1414" t="s">
        <v>817</v>
      </c>
      <c r="C104" s="5" t="s">
        <v>820</v>
      </c>
      <c r="D104" s="5"/>
      <c r="E104" s="1409">
        <f>E103/E102</f>
        <v>0.15</v>
      </c>
      <c r="F104" s="1409"/>
      <c r="G104" s="1436">
        <f>'FE MK OM Bases_Y1-Y5'!F35</f>
        <v>9.0330969550089596E-2</v>
      </c>
    </row>
    <row r="105" spans="2:7" x14ac:dyDescent="0.2">
      <c r="B105" s="1416"/>
      <c r="G105" s="1420"/>
    </row>
    <row r="106" spans="2:7" x14ac:dyDescent="0.2">
      <c r="B106" s="1416" t="s">
        <v>811</v>
      </c>
      <c r="C106" t="s">
        <v>821</v>
      </c>
      <c r="G106" s="1425">
        <f>'FE MK OM Bases_Y1-Y5'!F37</f>
        <v>10000</v>
      </c>
    </row>
    <row r="107" spans="2:7" x14ac:dyDescent="0.2">
      <c r="B107" s="1416" t="s">
        <v>817</v>
      </c>
      <c r="C107" t="s">
        <v>822</v>
      </c>
      <c r="G107" s="1425">
        <f>'FE MK OM Bases_Y1-Y5'!F38</f>
        <v>287439.62283655687</v>
      </c>
    </row>
    <row r="108" spans="2:7" x14ac:dyDescent="0.2">
      <c r="B108" s="1427" t="s">
        <v>817</v>
      </c>
      <c r="C108" s="1428" t="s">
        <v>823</v>
      </c>
      <c r="D108" s="1428"/>
      <c r="E108" s="1428"/>
      <c r="F108" s="1428"/>
      <c r="G108" s="1437">
        <f>'FE MK OM Bases_Y1-Y5'!F39</f>
        <v>8.7294018094576001E-2</v>
      </c>
    </row>
    <row r="111" spans="2:7" x14ac:dyDescent="0.2">
      <c r="B111" s="1819" t="s">
        <v>44</v>
      </c>
      <c r="C111" s="1819"/>
      <c r="D111" s="1819"/>
      <c r="E111" s="1819"/>
      <c r="F111" s="1819"/>
      <c r="G111" s="1819"/>
    </row>
    <row r="112" spans="2:7" x14ac:dyDescent="0.2">
      <c r="B112" s="1068" t="s">
        <v>794</v>
      </c>
      <c r="C112" s="1068" t="s">
        <v>795</v>
      </c>
      <c r="D112" s="1068" t="s">
        <v>409</v>
      </c>
      <c r="E112" s="1068" t="s">
        <v>79</v>
      </c>
      <c r="F112" s="1068"/>
      <c r="G112" s="1068" t="s">
        <v>796</v>
      </c>
    </row>
    <row r="113" spans="2:7" x14ac:dyDescent="0.2">
      <c r="B113" s="1416"/>
      <c r="G113" s="1422"/>
    </row>
    <row r="114" spans="2:7" x14ac:dyDescent="0.2">
      <c r="B114" s="1414" t="s">
        <v>797</v>
      </c>
      <c r="C114" s="5" t="s">
        <v>798</v>
      </c>
      <c r="D114" s="5"/>
      <c r="E114" s="1403">
        <f>'FE MK OM Bases_Y1-Y5'!G9</f>
        <v>76.655946659340358</v>
      </c>
      <c r="F114" s="1403"/>
      <c r="G114" s="1421">
        <f>'FE MK OM Bases_Y1-Y5'!G9</f>
        <v>76.655946659340358</v>
      </c>
    </row>
    <row r="115" spans="2:7" x14ac:dyDescent="0.2">
      <c r="B115" s="1416"/>
      <c r="G115" s="1417"/>
    </row>
    <row r="116" spans="2:7" x14ac:dyDescent="0.2">
      <c r="B116" s="1416" t="s">
        <v>797</v>
      </c>
      <c r="C116" t="s">
        <v>799</v>
      </c>
      <c r="E116" s="1404">
        <f>'FE MK OM Bases_Y1-Y5'!G11</f>
        <v>8940469.4830418061</v>
      </c>
      <c r="F116" s="1404"/>
      <c r="G116" s="1418">
        <f>'FE MK OM Bases_Y1-Y5'!G11</f>
        <v>8940469.4830418061</v>
      </c>
    </row>
    <row r="117" spans="2:7" x14ac:dyDescent="0.2">
      <c r="B117" s="1416" t="s">
        <v>797</v>
      </c>
      <c r="C117" t="s">
        <v>800</v>
      </c>
      <c r="D117" s="58">
        <v>0.15</v>
      </c>
      <c r="E117" s="1404">
        <f>E116*D117</f>
        <v>1341070.4224562708</v>
      </c>
      <c r="F117" s="1405">
        <f>'FE MK OM Bases_Y1-Y5'!G12</f>
        <v>0.17918143243969031</v>
      </c>
      <c r="G117" s="1418">
        <f>G116*F117</f>
        <v>1601966.1286547685</v>
      </c>
    </row>
    <row r="118" spans="2:7" x14ac:dyDescent="0.2">
      <c r="B118" s="1416" t="s">
        <v>797</v>
      </c>
      <c r="C118" t="s">
        <v>801</v>
      </c>
      <c r="D118" s="58">
        <v>0.15</v>
      </c>
      <c r="E118" s="1404">
        <f>E117*D118</f>
        <v>201160.56336844061</v>
      </c>
      <c r="F118" s="1405">
        <f>'FE MK OM Bases_Y1-Y5'!G13</f>
        <v>0.28163940665543019</v>
      </c>
      <c r="G118" s="1418">
        <f>G117*F118</f>
        <v>451176.78995642555</v>
      </c>
    </row>
    <row r="119" spans="2:7" x14ac:dyDescent="0.2">
      <c r="B119" s="1416" t="s">
        <v>797</v>
      </c>
      <c r="C119" t="s">
        <v>802</v>
      </c>
      <c r="D119" s="58">
        <v>0.15</v>
      </c>
      <c r="E119" s="1404">
        <f>E118*D119</f>
        <v>30174.084505266088</v>
      </c>
      <c r="F119" s="1405">
        <f>'FE MK OM Bases_Y1-Y5'!G14</f>
        <v>0.27</v>
      </c>
      <c r="G119" s="1418">
        <f>G118*F119</f>
        <v>121817.7332882349</v>
      </c>
    </row>
    <row r="120" spans="2:7" x14ac:dyDescent="0.2">
      <c r="B120" s="1416" t="s">
        <v>797</v>
      </c>
      <c r="C120" t="s">
        <v>803</v>
      </c>
      <c r="D120" s="58">
        <v>0</v>
      </c>
      <c r="E120" s="1404">
        <f>E119*(1-D120)</f>
        <v>30174.084505266088</v>
      </c>
      <c r="F120" s="1405">
        <f>'FE MK OM Bases_Y1-Y5'!G15</f>
        <v>0</v>
      </c>
      <c r="G120" s="1418">
        <f>G119*(1-F120)</f>
        <v>121817.7332882349</v>
      </c>
    </row>
    <row r="121" spans="2:7" x14ac:dyDescent="0.2">
      <c r="B121" s="1414" t="s">
        <v>797</v>
      </c>
      <c r="C121" s="5" t="s">
        <v>804</v>
      </c>
      <c r="D121" s="5"/>
      <c r="E121" s="1406">
        <f>E120</f>
        <v>30174.084505266088</v>
      </c>
      <c r="F121" s="1406"/>
      <c r="G121" s="1419">
        <f>G120</f>
        <v>121817.7332882349</v>
      </c>
    </row>
    <row r="122" spans="2:7" x14ac:dyDescent="0.2">
      <c r="B122" s="1416"/>
      <c r="G122" s="1417"/>
    </row>
    <row r="123" spans="2:7" x14ac:dyDescent="0.2">
      <c r="B123" s="1416" t="s">
        <v>797</v>
      </c>
      <c r="C123" t="s">
        <v>805</v>
      </c>
      <c r="D123" s="58">
        <v>0.45</v>
      </c>
      <c r="E123" s="1407">
        <f>E114*D123</f>
        <v>34.495175996703161</v>
      </c>
      <c r="F123" s="1405">
        <f>G123/G114</f>
        <v>0.41099344598018567</v>
      </c>
      <c r="G123" s="1420">
        <f>'FE MK OM Bases_Y1-Y5'!G18</f>
        <v>31.505091672395594</v>
      </c>
    </row>
    <row r="124" spans="2:7" x14ac:dyDescent="0.2">
      <c r="B124" s="1414" t="s">
        <v>806</v>
      </c>
      <c r="C124" s="5" t="s">
        <v>807</v>
      </c>
      <c r="D124" s="5"/>
      <c r="E124" s="1403">
        <f>E114-E123</f>
        <v>42.160770662637198</v>
      </c>
      <c r="F124" s="1403"/>
      <c r="G124" s="1421">
        <f>'FE MK OM Bases_Y1-Y5'!G19</f>
        <v>45.150854986944765</v>
      </c>
    </row>
    <row r="125" spans="2:7" x14ac:dyDescent="0.2">
      <c r="B125" s="1416"/>
      <c r="E125" s="141"/>
      <c r="F125" s="141"/>
      <c r="G125" s="1420"/>
    </row>
    <row r="126" spans="2:7" x14ac:dyDescent="0.2">
      <c r="B126" s="1414" t="s">
        <v>806</v>
      </c>
      <c r="C126" s="5" t="s">
        <v>808</v>
      </c>
      <c r="D126" s="1408">
        <v>0.4</v>
      </c>
      <c r="E126" s="1403">
        <f>E124*D126</f>
        <v>16.864308265054881</v>
      </c>
      <c r="F126" s="1409">
        <f>G126/G124</f>
        <v>0.44570227576311011</v>
      </c>
      <c r="G126" s="1421">
        <f>'FE MK OM Bases_Y1-Y5'!G21</f>
        <v>20.12383882033145</v>
      </c>
    </row>
    <row r="127" spans="2:7" x14ac:dyDescent="0.2">
      <c r="B127" s="1416" t="s">
        <v>806</v>
      </c>
      <c r="C127" s="96" t="s">
        <v>809</v>
      </c>
      <c r="D127" s="58">
        <v>0.6</v>
      </c>
      <c r="E127" s="1407">
        <f>E126*D127</f>
        <v>10.118584959032928</v>
      </c>
      <c r="F127" s="1405">
        <f>G127/G126</f>
        <v>0.75452953732677985</v>
      </c>
      <c r="G127" s="1420">
        <f>'FE MK OM Bases_Y1-Y5'!G22</f>
        <v>15.18403079434338</v>
      </c>
    </row>
    <row r="128" spans="2:7" x14ac:dyDescent="0.2">
      <c r="B128" s="1416" t="s">
        <v>806</v>
      </c>
      <c r="C128" s="96" t="s">
        <v>810</v>
      </c>
      <c r="D128" s="58">
        <v>0.2</v>
      </c>
      <c r="E128" s="1407">
        <f>E126*D128</f>
        <v>3.3728616530109763</v>
      </c>
      <c r="F128" s="1405">
        <f>G128/G126</f>
        <v>0.15318986961530143</v>
      </c>
      <c r="G128" s="1420">
        <f>'FE MK OM Bases_Y1-Y5'!G23</f>
        <v>3.0827682450459162</v>
      </c>
    </row>
    <row r="129" spans="2:7" x14ac:dyDescent="0.2">
      <c r="B129" s="1416" t="s">
        <v>811</v>
      </c>
      <c r="C129" s="96" t="s">
        <v>812</v>
      </c>
      <c r="D129" s="58">
        <v>0.2</v>
      </c>
      <c r="E129" s="1407">
        <f>E126*D129</f>
        <v>3.3728616530109763</v>
      </c>
      <c r="F129" s="1405">
        <f>G129/G126</f>
        <v>9.2280593057918706E-2</v>
      </c>
      <c r="G129" s="1420">
        <f>'FE MK OM Bases_Y1-Y5'!G24</f>
        <v>1.8570397809421535</v>
      </c>
    </row>
    <row r="130" spans="2:7" x14ac:dyDescent="0.2">
      <c r="B130" s="1414" t="s">
        <v>806</v>
      </c>
      <c r="C130" s="5" t="s">
        <v>808</v>
      </c>
      <c r="D130" s="5"/>
      <c r="E130" s="1403">
        <f>E126</f>
        <v>16.864308265054881</v>
      </c>
      <c r="F130" s="1403"/>
      <c r="G130" s="1421">
        <f>'FE MK OM Bases_Y1-Y5'!G25</f>
        <v>20.12</v>
      </c>
    </row>
    <row r="131" spans="2:7" x14ac:dyDescent="0.2">
      <c r="B131" s="1416"/>
      <c r="G131" s="1420"/>
    </row>
    <row r="132" spans="2:7" x14ac:dyDescent="0.2">
      <c r="B132" s="1414" t="s">
        <v>811</v>
      </c>
      <c r="C132" s="1410" t="s">
        <v>813</v>
      </c>
      <c r="D132" s="5"/>
      <c r="E132" s="5"/>
      <c r="F132" s="5"/>
      <c r="G132" s="1421">
        <f>'FE MK OM Bases_Y1-Y5'!G27</f>
        <v>25.030854986944764</v>
      </c>
    </row>
    <row r="133" spans="2:7" x14ac:dyDescent="0.2">
      <c r="B133" s="1416"/>
      <c r="G133" s="1420"/>
    </row>
    <row r="134" spans="2:7" x14ac:dyDescent="0.2">
      <c r="B134" s="1416" t="s">
        <v>811</v>
      </c>
      <c r="C134" t="s">
        <v>814</v>
      </c>
      <c r="D134" s="1405">
        <v>0.2</v>
      </c>
      <c r="E134" s="1407">
        <f>E124*D134</f>
        <v>8.4321541325274403</v>
      </c>
      <c r="F134" s="1405">
        <f>G134/G124</f>
        <v>0.19999621275413271</v>
      </c>
      <c r="G134" s="1420">
        <f>'FE MK OM Bases_Y1-Y5'!G29</f>
        <v>9.0299999999999994</v>
      </c>
    </row>
    <row r="135" spans="2:7" x14ac:dyDescent="0.2">
      <c r="B135" s="1416" t="s">
        <v>811</v>
      </c>
      <c r="C135" t="s">
        <v>815</v>
      </c>
      <c r="D135" s="1405">
        <v>0.25</v>
      </c>
      <c r="E135" s="1407">
        <f>E124*D135</f>
        <v>10.540192665659299</v>
      </c>
      <c r="F135" s="1405">
        <f>G135/G124</f>
        <v>0.25005063587975174</v>
      </c>
      <c r="G135" s="1420">
        <f>'FE MK OM Bases_Y1-Y5'!G30</f>
        <v>11.29</v>
      </c>
    </row>
    <row r="136" spans="2:7" x14ac:dyDescent="0.2">
      <c r="B136" s="1414" t="s">
        <v>811</v>
      </c>
      <c r="C136" s="5" t="s">
        <v>816</v>
      </c>
      <c r="D136" s="1409">
        <v>0.15</v>
      </c>
      <c r="E136" s="1403">
        <f>E124*D136</f>
        <v>6.3241155993955793</v>
      </c>
      <c r="F136" s="1409">
        <f>G136/G124</f>
        <v>0.10431696146976359</v>
      </c>
      <c r="G136" s="1421">
        <f>'FE MK OM Bases_Y1-Y5'!G31</f>
        <v>4.71</v>
      </c>
    </row>
    <row r="137" spans="2:7" x14ac:dyDescent="0.2">
      <c r="B137" s="1416"/>
      <c r="G137" s="1420"/>
    </row>
    <row r="138" spans="2:7" x14ac:dyDescent="0.2">
      <c r="B138" s="1416" t="s">
        <v>817</v>
      </c>
      <c r="C138" t="s">
        <v>818</v>
      </c>
      <c r="E138" s="27">
        <f>E124*E121</f>
        <v>1272162.6567815582</v>
      </c>
      <c r="F138" s="27"/>
      <c r="G138" s="1420">
        <f>'FE MK OM Bases_Y1-Y5'!G33</f>
        <v>5500174.8105354076</v>
      </c>
    </row>
    <row r="139" spans="2:7" x14ac:dyDescent="0.2">
      <c r="B139" s="1416" t="s">
        <v>817</v>
      </c>
      <c r="C139" t="s">
        <v>819</v>
      </c>
      <c r="E139" s="27">
        <f>E136*E121</f>
        <v>190824.3985172337</v>
      </c>
      <c r="F139" s="27"/>
      <c r="G139" s="1420">
        <f>'FE MK OM Bases_Y1-Y5'!G34</f>
        <v>573761.52378758637</v>
      </c>
    </row>
    <row r="140" spans="2:7" x14ac:dyDescent="0.2">
      <c r="B140" s="1414" t="s">
        <v>817</v>
      </c>
      <c r="C140" s="5" t="s">
        <v>820</v>
      </c>
      <c r="D140" s="5"/>
      <c r="E140" s="1409">
        <f>E139/E138</f>
        <v>0.14999999999999997</v>
      </c>
      <c r="F140" s="1409"/>
      <c r="G140" s="1438">
        <f>'FE MK OM Bases_Y1-Y5'!G35</f>
        <v>0.10431696146976359</v>
      </c>
    </row>
    <row r="141" spans="2:7" x14ac:dyDescent="0.2">
      <c r="B141" s="1416"/>
      <c r="G141" s="1420"/>
    </row>
    <row r="142" spans="2:7" x14ac:dyDescent="0.2">
      <c r="B142" s="1416" t="s">
        <v>811</v>
      </c>
      <c r="C142" t="s">
        <v>821</v>
      </c>
      <c r="G142" s="1420">
        <f>'FE MK OM Bases_Y1-Y5'!G37</f>
        <v>10000</v>
      </c>
    </row>
    <row r="143" spans="2:7" x14ac:dyDescent="0.2">
      <c r="B143" s="1416" t="s">
        <v>817</v>
      </c>
      <c r="C143" t="s">
        <v>822</v>
      </c>
      <c r="G143" s="1420">
        <f>'FE MK OM Bases_Y1-Y5'!G38</f>
        <v>563761.52378758637</v>
      </c>
    </row>
    <row r="144" spans="2:7" x14ac:dyDescent="0.2">
      <c r="B144" s="1427" t="s">
        <v>817</v>
      </c>
      <c r="C144" s="1428" t="s">
        <v>823</v>
      </c>
      <c r="D144" s="1428"/>
      <c r="E144" s="1428"/>
      <c r="F144" s="1428"/>
      <c r="G144" s="1437">
        <f>'FE MK OM Bases_Y1-Y5'!G39</f>
        <v>0.10249883743835184</v>
      </c>
    </row>
    <row r="146" spans="2:7" x14ac:dyDescent="0.2">
      <c r="B146" s="1807" t="s">
        <v>45</v>
      </c>
      <c r="C146" s="1807"/>
      <c r="D146" s="1807"/>
      <c r="E146" s="1807"/>
      <c r="F146" s="1807"/>
      <c r="G146" s="1807"/>
    </row>
    <row r="147" spans="2:7" x14ac:dyDescent="0.2">
      <c r="B147" s="1439" t="s">
        <v>794</v>
      </c>
      <c r="C147" s="1439" t="s">
        <v>795</v>
      </c>
      <c r="D147" s="1439" t="s">
        <v>409</v>
      </c>
      <c r="E147" s="1439" t="s">
        <v>79</v>
      </c>
      <c r="F147" s="1439"/>
      <c r="G147" s="1439" t="s">
        <v>796</v>
      </c>
    </row>
    <row r="148" spans="2:7" x14ac:dyDescent="0.2">
      <c r="B148" s="1411"/>
      <c r="C148" s="1412"/>
      <c r="D148" s="1412"/>
      <c r="E148" s="1412"/>
      <c r="F148" s="1412"/>
      <c r="G148" s="1413"/>
    </row>
    <row r="149" spans="2:7" x14ac:dyDescent="0.2">
      <c r="B149" s="1414" t="s">
        <v>797</v>
      </c>
      <c r="C149" s="5" t="s">
        <v>798</v>
      </c>
      <c r="D149" s="5"/>
      <c r="E149" s="1403">
        <f>'FE MK OM Bases_Y1-Y5'!H9</f>
        <v>75.431718016378113</v>
      </c>
      <c r="F149" s="1403"/>
      <c r="G149" s="1421">
        <f>'FE MK OM Bases_Y1-Y5'!H9</f>
        <v>75.431718016378113</v>
      </c>
    </row>
    <row r="150" spans="2:7" x14ac:dyDescent="0.2">
      <c r="B150" s="1416"/>
      <c r="G150" s="1417"/>
    </row>
    <row r="151" spans="2:7" x14ac:dyDescent="0.2">
      <c r="B151" s="1416" t="s">
        <v>797</v>
      </c>
      <c r="C151" t="s">
        <v>799</v>
      </c>
      <c r="E151" s="1404">
        <f>'FE MK OM Bases_Y1-Y5'!H11</f>
        <v>9133688.9173160717</v>
      </c>
      <c r="F151" s="1404"/>
      <c r="G151" s="1418">
        <f>'FE MK OM Bases_Y1-Y5'!H11</f>
        <v>9133688.9173160717</v>
      </c>
    </row>
    <row r="152" spans="2:7" x14ac:dyDescent="0.2">
      <c r="B152" s="1416" t="s">
        <v>797</v>
      </c>
      <c r="C152" t="s">
        <v>800</v>
      </c>
      <c r="D152" s="58">
        <v>0.15</v>
      </c>
      <c r="E152" s="1404">
        <f>E151*D152</f>
        <v>1370053.3375974107</v>
      </c>
      <c r="F152" s="1405">
        <f>'FE MK OM Bases_Y1-Y5'!H12</f>
        <v>0.18150746686131858</v>
      </c>
      <c r="G152" s="1418">
        <f>G151*F152</f>
        <v>1657832.7384813395</v>
      </c>
    </row>
    <row r="153" spans="2:7" x14ac:dyDescent="0.2">
      <c r="B153" s="1416" t="s">
        <v>797</v>
      </c>
      <c r="C153" t="s">
        <v>801</v>
      </c>
      <c r="D153" s="58">
        <v>0.15</v>
      </c>
      <c r="E153" s="1404">
        <f>E152*D153</f>
        <v>205508.00063961159</v>
      </c>
      <c r="F153" s="1405">
        <f>'FE MK OM Bases_Y1-Y5'!H13</f>
        <v>0.30987634925741753</v>
      </c>
      <c r="G153" s="1418">
        <f>G152*F153</f>
        <v>513723.15668002452</v>
      </c>
    </row>
    <row r="154" spans="2:7" x14ac:dyDescent="0.2">
      <c r="B154" s="1416" t="s">
        <v>797</v>
      </c>
      <c r="C154" t="s">
        <v>802</v>
      </c>
      <c r="D154" s="58">
        <v>0.15</v>
      </c>
      <c r="E154" s="1404">
        <f>E153*D154</f>
        <v>30826.200095941738</v>
      </c>
      <c r="F154" s="1405">
        <f>'FE MK OM Bases_Y1-Y5'!H14</f>
        <v>0.33</v>
      </c>
      <c r="G154" s="1418">
        <f>G153*F154</f>
        <v>169528.6417044081</v>
      </c>
    </row>
    <row r="155" spans="2:7" x14ac:dyDescent="0.2">
      <c r="B155" s="1416" t="s">
        <v>797</v>
      </c>
      <c r="C155" t="s">
        <v>803</v>
      </c>
      <c r="D155" s="58">
        <v>0</v>
      </c>
      <c r="E155" s="1404">
        <f>E154*(1-D155)</f>
        <v>30826.200095941738</v>
      </c>
      <c r="F155" s="1405">
        <f>'FE MK OM Bases_Y1-Y5'!H15</f>
        <v>0</v>
      </c>
      <c r="G155" s="1418">
        <f>G154*(1-F155)</f>
        <v>169528.6417044081</v>
      </c>
    </row>
    <row r="156" spans="2:7" x14ac:dyDescent="0.2">
      <c r="B156" s="1414" t="s">
        <v>797</v>
      </c>
      <c r="C156" s="5" t="s">
        <v>804</v>
      </c>
      <c r="D156" s="5"/>
      <c r="E156" s="1406">
        <f>E155</f>
        <v>30826.200095941738</v>
      </c>
      <c r="F156" s="1406"/>
      <c r="G156" s="1419">
        <f>G155</f>
        <v>169528.6417044081</v>
      </c>
    </row>
    <row r="157" spans="2:7" x14ac:dyDescent="0.2">
      <c r="B157" s="1416"/>
      <c r="G157" s="1417"/>
    </row>
    <row r="158" spans="2:7" x14ac:dyDescent="0.2">
      <c r="B158" s="1416" t="s">
        <v>797</v>
      </c>
      <c r="C158" t="s">
        <v>805</v>
      </c>
      <c r="D158" s="58">
        <v>0.45</v>
      </c>
      <c r="E158" s="1407">
        <f>E149*D158</f>
        <v>33.944273107370151</v>
      </c>
      <c r="F158" s="1405">
        <f>G158/G149</f>
        <v>0.41066405343873441</v>
      </c>
      <c r="G158" s="1420">
        <f>'FE MK OM Bases_Y1-Y5'!H18</f>
        <v>30.977095078453445</v>
      </c>
    </row>
    <row r="159" spans="2:7" x14ac:dyDescent="0.2">
      <c r="B159" s="1414" t="s">
        <v>806</v>
      </c>
      <c r="C159" s="5" t="s">
        <v>807</v>
      </c>
      <c r="D159" s="5"/>
      <c r="E159" s="1403">
        <f>E149-E158</f>
        <v>41.487444909007962</v>
      </c>
      <c r="F159" s="1403"/>
      <c r="G159" s="1421">
        <f>'FE MK OM Bases_Y1-Y5'!H19</f>
        <v>44.454622937924668</v>
      </c>
    </row>
    <row r="160" spans="2:7" x14ac:dyDescent="0.2">
      <c r="B160" s="1416"/>
      <c r="E160" s="141"/>
      <c r="F160" s="141"/>
      <c r="G160" s="1420"/>
    </row>
    <row r="161" spans="2:7" x14ac:dyDescent="0.2">
      <c r="B161" s="1414" t="s">
        <v>806</v>
      </c>
      <c r="C161" s="5" t="s">
        <v>808</v>
      </c>
      <c r="D161" s="1408">
        <v>0.4</v>
      </c>
      <c r="E161" s="1403">
        <f>E159*D161</f>
        <v>16.594977963603185</v>
      </c>
      <c r="F161" s="1409">
        <f>G161/G159</f>
        <v>0.44340495918138556</v>
      </c>
      <c r="G161" s="1421">
        <f>'FE MK OM Bases_Y1-Y5'!H21</f>
        <v>19.711400269214373</v>
      </c>
    </row>
    <row r="162" spans="2:7" x14ac:dyDescent="0.2">
      <c r="B162" s="1416" t="s">
        <v>806</v>
      </c>
      <c r="C162" s="96" t="s">
        <v>809</v>
      </c>
      <c r="D162" s="58">
        <v>0.6</v>
      </c>
      <c r="E162" s="1407">
        <f>E161*D162</f>
        <v>9.9569867781619106</v>
      </c>
      <c r="F162" s="1405">
        <f>G162/G161</f>
        <v>0.77031720663996051</v>
      </c>
      <c r="G162" s="1420">
        <f>'FE MK OM Bases_Y1-Y5'!H22</f>
        <v>15.18403079434338</v>
      </c>
    </row>
    <row r="163" spans="2:7" x14ac:dyDescent="0.2">
      <c r="B163" s="1416" t="s">
        <v>806</v>
      </c>
      <c r="C163" s="96" t="s">
        <v>810</v>
      </c>
      <c r="D163" s="58">
        <v>0.2</v>
      </c>
      <c r="E163" s="1407">
        <f>E161*D163</f>
        <v>3.3189955927206372</v>
      </c>
      <c r="F163" s="1405">
        <f>G163/G161</f>
        <v>0.16108704856227085</v>
      </c>
      <c r="G163" s="1420">
        <f>'FE MK OM Bases_Y1-Y5'!H23</f>
        <v>3.1752512923972946</v>
      </c>
    </row>
    <row r="164" spans="2:7" x14ac:dyDescent="0.2">
      <c r="B164" s="1416" t="s">
        <v>811</v>
      </c>
      <c r="C164" s="96" t="s">
        <v>812</v>
      </c>
      <c r="D164" s="58">
        <v>0.2</v>
      </c>
      <c r="E164" s="1407">
        <f>E161*D164</f>
        <v>3.3189955927206372</v>
      </c>
      <c r="F164" s="1405">
        <f>G164/G161</f>
        <v>6.8595744797768782E-2</v>
      </c>
      <c r="G164" s="1420">
        <f>'FE MK OM Bases_Y1-Y5'!H24</f>
        <v>1.3521181824736999</v>
      </c>
    </row>
    <row r="165" spans="2:7" x14ac:dyDescent="0.2">
      <c r="B165" s="1414" t="s">
        <v>806</v>
      </c>
      <c r="C165" s="5" t="s">
        <v>808</v>
      </c>
      <c r="D165" s="5"/>
      <c r="E165" s="1403">
        <f>E161</f>
        <v>16.594977963603185</v>
      </c>
      <c r="F165" s="1403"/>
      <c r="G165" s="1421">
        <f>'FE MK OM Bases_Y1-Y5'!H25</f>
        <v>19.711400269214373</v>
      </c>
    </row>
    <row r="166" spans="2:7" x14ac:dyDescent="0.2">
      <c r="B166" s="1416"/>
      <c r="G166" s="1420"/>
    </row>
    <row r="167" spans="2:7" x14ac:dyDescent="0.2">
      <c r="B167" s="1414" t="s">
        <v>811</v>
      </c>
      <c r="C167" s="1410" t="s">
        <v>813</v>
      </c>
      <c r="D167" s="5"/>
      <c r="E167" s="5"/>
      <c r="F167" s="5"/>
      <c r="G167" s="1421">
        <f>'FE MK OM Bases_Y1-Y5'!H27</f>
        <v>24.743222668710295</v>
      </c>
    </row>
    <row r="168" spans="2:7" x14ac:dyDescent="0.2">
      <c r="B168" s="1416"/>
      <c r="G168" s="1420"/>
    </row>
    <row r="169" spans="2:7" x14ac:dyDescent="0.2">
      <c r="B169" s="1416" t="s">
        <v>811</v>
      </c>
      <c r="C169" t="s">
        <v>814</v>
      </c>
      <c r="D169" s="1405">
        <v>0.2</v>
      </c>
      <c r="E169" s="1407">
        <f>E159*D169</f>
        <v>8.2974889818015924</v>
      </c>
      <c r="F169" s="1405">
        <f>G169/G159</f>
        <v>0.19997920154252069</v>
      </c>
      <c r="G169" s="1420">
        <f>'FE MK OM Bases_Y1-Y5'!H29</f>
        <v>8.89</v>
      </c>
    </row>
    <row r="170" spans="2:7" x14ac:dyDescent="0.2">
      <c r="B170" s="1416" t="s">
        <v>811</v>
      </c>
      <c r="C170" t="s">
        <v>815</v>
      </c>
      <c r="D170" s="1405">
        <v>0.25</v>
      </c>
      <c r="E170" s="1407">
        <f>E159*D170</f>
        <v>10.371861227251991</v>
      </c>
      <c r="F170" s="1405">
        <f>G170/G159</f>
        <v>0.24991776480735711</v>
      </c>
      <c r="G170" s="1420">
        <f>'FE MK OM Bases_Y1-Y5'!H30</f>
        <v>11.11</v>
      </c>
    </row>
    <row r="171" spans="2:7" x14ac:dyDescent="0.2">
      <c r="B171" s="1414" t="s">
        <v>811</v>
      </c>
      <c r="C171" s="5" t="s">
        <v>816</v>
      </c>
      <c r="D171" s="1409">
        <v>0.15</v>
      </c>
      <c r="E171" s="1403">
        <f>E159*D171</f>
        <v>6.2231167363511943</v>
      </c>
      <c r="F171" s="1409">
        <f>G171/G159</f>
        <v>0.10662558102492105</v>
      </c>
      <c r="G171" s="1421">
        <f>'FE MK OM Bases_Y1-Y5'!H31</f>
        <v>4.74</v>
      </c>
    </row>
    <row r="172" spans="2:7" x14ac:dyDescent="0.2">
      <c r="B172" s="1416"/>
      <c r="G172" s="1420"/>
    </row>
    <row r="173" spans="2:7" x14ac:dyDescent="0.2">
      <c r="B173" s="1416" t="s">
        <v>817</v>
      </c>
      <c r="C173" t="s">
        <v>818</v>
      </c>
      <c r="E173" s="27">
        <f>E159*E156</f>
        <v>1278900.2782344387</v>
      </c>
      <c r="F173" s="27"/>
      <c r="G173" s="1425">
        <f>'FE MK OM Bases_Y1-Y5'!H33</f>
        <v>7536331.8441479933</v>
      </c>
    </row>
    <row r="174" spans="2:7" x14ac:dyDescent="0.2">
      <c r="B174" s="1416" t="s">
        <v>817</v>
      </c>
      <c r="C174" t="s">
        <v>819</v>
      </c>
      <c r="E174" s="27">
        <f>E171*E156</f>
        <v>191835.04173516581</v>
      </c>
      <c r="F174" s="27"/>
      <c r="G174" s="1425">
        <f>'FE MK OM Bases_Y1-Y5'!H34</f>
        <v>803565.7616788944</v>
      </c>
    </row>
    <row r="175" spans="2:7" x14ac:dyDescent="0.2">
      <c r="B175" s="1414" t="s">
        <v>817</v>
      </c>
      <c r="C175" s="5" t="s">
        <v>820</v>
      </c>
      <c r="D175" s="5"/>
      <c r="E175" s="1409">
        <f>E174/E173</f>
        <v>0.15</v>
      </c>
      <c r="F175" s="1409"/>
      <c r="G175" s="1438">
        <f>'FE MK OM Bases_Y1-Y5'!H35</f>
        <v>0.10662558102492103</v>
      </c>
    </row>
    <row r="176" spans="2:7" x14ac:dyDescent="0.2">
      <c r="B176" s="1416"/>
      <c r="G176" s="1420"/>
    </row>
    <row r="177" spans="2:7" x14ac:dyDescent="0.2">
      <c r="B177" s="1416" t="s">
        <v>811</v>
      </c>
      <c r="C177" t="s">
        <v>821</v>
      </c>
      <c r="G177" s="1425">
        <f>'FE MK OM Bases_Y1-Y5'!H37</f>
        <v>10000</v>
      </c>
    </row>
    <row r="178" spans="2:7" x14ac:dyDescent="0.2">
      <c r="B178" s="1416" t="s">
        <v>817</v>
      </c>
      <c r="C178" t="s">
        <v>822</v>
      </c>
      <c r="G178" s="1425">
        <f>'FE MK OM Bases_Y1-Y5'!H38</f>
        <v>793565.7616788944</v>
      </c>
    </row>
    <row r="179" spans="2:7" x14ac:dyDescent="0.2">
      <c r="B179" s="1427" t="s">
        <v>817</v>
      </c>
      <c r="C179" s="1428" t="s">
        <v>823</v>
      </c>
      <c r="D179" s="1428"/>
      <c r="E179" s="1428"/>
      <c r="F179" s="1428"/>
      <c r="G179" s="1437">
        <f>'FE MK OM Bases_Y1-Y5'!H39</f>
        <v>0.10529867554798598</v>
      </c>
    </row>
  </sheetData>
  <mergeCells count="6">
    <mergeCell ref="B146:G146"/>
    <mergeCell ref="B5:G5"/>
    <mergeCell ref="B3:G3"/>
    <mergeCell ref="B40:G40"/>
    <mergeCell ref="B75:G75"/>
    <mergeCell ref="B111:G111"/>
  </mergeCells>
  <hyperlinks>
    <hyperlink ref="B1" location="Index!A1" display="Back to Index" xr:uid="{D03D822A-6095-41EE-9390-CB5D632777EB}"/>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F1FB7-2BFA-47B9-994C-A8892854A537}">
  <sheetPr>
    <tabColor rgb="FFFF0000"/>
  </sheetPr>
  <dimension ref="B1:X86"/>
  <sheetViews>
    <sheetView showGridLines="0" topLeftCell="A7" zoomScale="70" zoomScaleNormal="70" workbookViewId="0">
      <selection activeCell="A7" sqref="A7"/>
    </sheetView>
  </sheetViews>
  <sheetFormatPr baseColWidth="10" defaultColWidth="9.1640625" defaultRowHeight="16" x14ac:dyDescent="0.2"/>
  <cols>
    <col min="1" max="1" width="1.83203125" style="418" customWidth="1"/>
    <col min="2" max="2" width="24.5" style="418" bestFit="1" customWidth="1"/>
    <col min="3" max="3" width="16" style="418" bestFit="1" customWidth="1"/>
    <col min="4" max="4" width="19.1640625" style="418" bestFit="1" customWidth="1"/>
    <col min="5" max="5" width="17.5" style="418" bestFit="1" customWidth="1"/>
    <col min="6" max="6" width="14.5" style="418" bestFit="1" customWidth="1"/>
    <col min="7" max="7" width="18.83203125" style="418" bestFit="1" customWidth="1"/>
    <col min="8" max="8" width="20.5" style="418" bestFit="1" customWidth="1"/>
    <col min="9" max="9" width="18.83203125" style="418" bestFit="1" customWidth="1"/>
    <col min="10" max="10" width="21.33203125" style="418" bestFit="1" customWidth="1"/>
    <col min="11" max="11" width="13.5" style="418" bestFit="1" customWidth="1"/>
    <col min="12" max="12" width="13.5" style="418" customWidth="1"/>
    <col min="13" max="13" width="23.1640625" style="418" customWidth="1"/>
    <col min="14" max="14" width="12.83203125" style="418" customWidth="1"/>
    <col min="15" max="15" width="14.1640625" style="418" customWidth="1"/>
    <col min="16" max="17" width="9.1640625" style="418"/>
    <col min="18" max="19" width="31.1640625" style="418" customWidth="1"/>
    <col min="20" max="20" width="25.5" style="418" customWidth="1"/>
    <col min="21" max="21" width="32.5" style="418" customWidth="1"/>
    <col min="22" max="16384" width="9.1640625" style="418"/>
  </cols>
  <sheetData>
    <row r="1" spans="2:14" x14ac:dyDescent="0.2">
      <c r="B1" s="1465" t="s">
        <v>37</v>
      </c>
    </row>
    <row r="3" spans="2:14" x14ac:dyDescent="0.2">
      <c r="B3" s="1832" t="s">
        <v>24</v>
      </c>
      <c r="C3" s="1832"/>
      <c r="D3" s="1832"/>
      <c r="E3" s="1832"/>
      <c r="F3" s="1832"/>
      <c r="G3" s="1832"/>
      <c r="H3" s="1832"/>
      <c r="I3" s="1832"/>
      <c r="J3" s="1832"/>
      <c r="K3" s="1832"/>
      <c r="L3" s="1832"/>
      <c r="M3" s="1832"/>
      <c r="N3" s="1832"/>
    </row>
    <row r="4" spans="2:14" ht="17" thickBot="1" x14ac:dyDescent="0.25"/>
    <row r="5" spans="2:14" ht="21" customHeight="1" x14ac:dyDescent="0.25">
      <c r="B5" s="1833" t="s">
        <v>824</v>
      </c>
      <c r="C5" s="1834"/>
      <c r="D5" s="581">
        <f>'FE Assumptions'!D$45</f>
        <v>13609</v>
      </c>
      <c r="E5" s="592"/>
      <c r="F5" s="592"/>
      <c r="G5" s="592"/>
      <c r="H5" s="592"/>
      <c r="I5" s="592"/>
      <c r="J5" s="592"/>
      <c r="K5" s="592"/>
      <c r="L5" s="601"/>
    </row>
    <row r="6" spans="2:14" ht="141.75" customHeight="1" x14ac:dyDescent="0.25">
      <c r="B6" s="582" t="s">
        <v>825</v>
      </c>
      <c r="C6" s="422" t="s">
        <v>826</v>
      </c>
      <c r="D6" s="422" t="s">
        <v>827</v>
      </c>
      <c r="E6" s="423" t="s">
        <v>828</v>
      </c>
      <c r="F6" s="423" t="s">
        <v>829</v>
      </c>
      <c r="G6" s="423" t="s">
        <v>830</v>
      </c>
      <c r="H6" s="423" t="s">
        <v>831</v>
      </c>
      <c r="I6" s="423" t="s">
        <v>832</v>
      </c>
      <c r="J6" s="423" t="s">
        <v>833</v>
      </c>
      <c r="K6" s="424" t="s">
        <v>834</v>
      </c>
      <c r="L6" s="602"/>
    </row>
    <row r="7" spans="2:14" ht="68.25" customHeight="1" x14ac:dyDescent="0.25">
      <c r="B7" s="583" t="s">
        <v>835</v>
      </c>
      <c r="C7" s="425" t="s">
        <v>836</v>
      </c>
      <c r="D7" s="526" t="str">
        <f>'FE Assumptions'!$B$32</f>
        <v>The Toy Maven - Preston Hollow</v>
      </c>
      <c r="E7" s="426">
        <f>'FE Assumptions'!D32/'Logistics of Transportation'!$D$5</f>
        <v>5.7142857142857148E-2</v>
      </c>
      <c r="F7" s="529">
        <f>E7*$D$5</f>
        <v>777.65714285714296</v>
      </c>
      <c r="G7" s="427">
        <v>1</v>
      </c>
      <c r="H7" s="545">
        <f>(F7/G7)/2</f>
        <v>388.82857142857148</v>
      </c>
      <c r="I7" s="546">
        <f>J7/H7</f>
        <v>1.6447608200455579</v>
      </c>
      <c r="J7" s="547">
        <v>639.53</v>
      </c>
      <c r="K7" s="428">
        <f>J7*2</f>
        <v>1279.06</v>
      </c>
      <c r="L7" s="603">
        <f>I7*F7</f>
        <v>1279.06</v>
      </c>
      <c r="M7" s="1256" t="s">
        <v>837</v>
      </c>
      <c r="N7" s="1338"/>
    </row>
    <row r="8" spans="2:14" ht="40" x14ac:dyDescent="0.25">
      <c r="B8" s="583" t="s">
        <v>835</v>
      </c>
      <c r="C8" s="425" t="s">
        <v>836</v>
      </c>
      <c r="D8" s="526" t="str">
        <f>'FE Assumptions'!$B$33</f>
        <v>Kip's Toyland</v>
      </c>
      <c r="E8" s="426">
        <f>'FE Assumptions'!D33/'Logistics of Transportation'!$D$5</f>
        <v>7.1428571428571438E-2</v>
      </c>
      <c r="F8" s="529">
        <f>E8*$D$5</f>
        <v>972.07142857142867</v>
      </c>
      <c r="G8" s="554">
        <v>1</v>
      </c>
      <c r="H8" s="549">
        <f>(F8/G8)/2</f>
        <v>486.03571428571433</v>
      </c>
      <c r="I8" s="552">
        <f>J8/H8</f>
        <v>1.3003159673745315</v>
      </c>
      <c r="J8" s="553">
        <v>632</v>
      </c>
      <c r="K8" s="573">
        <f t="shared" ref="K8" si="0">J8*2</f>
        <v>1264</v>
      </c>
      <c r="L8" s="606">
        <f>I8*F8</f>
        <v>1264</v>
      </c>
      <c r="M8" s="1010" t="s">
        <v>838</v>
      </c>
    </row>
    <row r="9" spans="2:14" ht="65" x14ac:dyDescent="0.25">
      <c r="B9" s="583" t="s">
        <v>835</v>
      </c>
      <c r="C9" s="425" t="s">
        <v>836</v>
      </c>
      <c r="D9" s="526" t="str">
        <f>'FE Assumptions'!$B$34</f>
        <v>Toy's That Teach</v>
      </c>
      <c r="E9" s="426">
        <f>'FE Assumptions'!D34/'Logistics of Transportation'!$D$5</f>
        <v>1.4285714285714287E-2</v>
      </c>
      <c r="F9" s="529">
        <f>E9*$D$5</f>
        <v>194.41428571428574</v>
      </c>
      <c r="G9" s="554">
        <v>1</v>
      </c>
      <c r="H9" s="549">
        <f>(F9/G9)/2</f>
        <v>97.20714285714287</v>
      </c>
      <c r="I9" s="546">
        <f>0.1*'OM Assumptions'!C73</f>
        <v>3.0374490468203761</v>
      </c>
      <c r="J9" s="547">
        <f>I9*H9</f>
        <v>295.26174341556072</v>
      </c>
      <c r="K9" s="573">
        <f>J9*2</f>
        <v>590.52348683112143</v>
      </c>
      <c r="L9" s="606">
        <f>I9*F9</f>
        <v>590.52348683112143</v>
      </c>
      <c r="M9" s="1256" t="s">
        <v>839</v>
      </c>
      <c r="N9" s="538" t="s">
        <v>840</v>
      </c>
    </row>
    <row r="10" spans="2:14" ht="40" x14ac:dyDescent="0.25">
      <c r="B10" s="583" t="s">
        <v>841</v>
      </c>
      <c r="C10" s="425" t="s">
        <v>842</v>
      </c>
      <c r="D10" s="526" t="s">
        <v>843</v>
      </c>
      <c r="E10" s="426">
        <f>'FE Assumptions'!D36/'Logistics of Transportation'!$D$5</f>
        <v>0.85714285714285721</v>
      </c>
      <c r="F10" s="529">
        <f>E10*$D$5</f>
        <v>11664.857142857143</v>
      </c>
      <c r="G10" s="554">
        <v>1</v>
      </c>
      <c r="H10" s="549">
        <f>(F10/G10)/4</f>
        <v>2916.2142857142858</v>
      </c>
      <c r="I10" s="546">
        <f>J10/H10</f>
        <v>0.36194185220564823</v>
      </c>
      <c r="J10" s="553">
        <f>1055.5</f>
        <v>1055.5</v>
      </c>
      <c r="K10" s="428">
        <f>F10*I10</f>
        <v>4222</v>
      </c>
      <c r="L10" s="603">
        <f>I10*F10</f>
        <v>4222</v>
      </c>
      <c r="M10" s="600"/>
    </row>
    <row r="11" spans="2:14" ht="27" customHeight="1" x14ac:dyDescent="0.25">
      <c r="B11" s="584" t="s">
        <v>844</v>
      </c>
      <c r="C11" s="554" t="s">
        <v>845</v>
      </c>
      <c r="D11" s="570" t="str">
        <f>'FE Assumptions'!$B$37</f>
        <v>Learning Express</v>
      </c>
      <c r="E11" s="571">
        <f>'FE Assumptions'!D37/'Logistics of Transportation'!$D$5</f>
        <v>0</v>
      </c>
      <c r="F11" s="572">
        <f t="shared" ref="F11:F16" si="1">E11*$D$5</f>
        <v>0</v>
      </c>
      <c r="G11" s="554">
        <v>4</v>
      </c>
      <c r="H11" s="549">
        <v>0</v>
      </c>
      <c r="I11" s="575">
        <v>0</v>
      </c>
      <c r="J11" s="574">
        <v>0</v>
      </c>
      <c r="K11" s="573">
        <f>J11*4</f>
        <v>0</v>
      </c>
      <c r="L11" s="604"/>
    </row>
    <row r="12" spans="2:14" ht="27" customHeight="1" x14ac:dyDescent="0.25">
      <c r="B12" s="585" t="s">
        <v>844</v>
      </c>
      <c r="C12" s="427" t="s">
        <v>845</v>
      </c>
      <c r="D12" s="527" t="str">
        <f>'FE Assumptions'!$B$38</f>
        <v>Hobby Town</v>
      </c>
      <c r="E12" s="426">
        <f>'FE Assumptions'!D38/'Logistics of Transportation'!$D$5</f>
        <v>0</v>
      </c>
      <c r="F12" s="529">
        <f t="shared" si="1"/>
        <v>0</v>
      </c>
      <c r="G12" s="427">
        <v>2</v>
      </c>
      <c r="H12" s="545">
        <f t="shared" ref="H12:H13" si="2">(F12/G12)/4</f>
        <v>0</v>
      </c>
      <c r="I12" s="546">
        <v>0</v>
      </c>
      <c r="J12" s="547">
        <f t="shared" ref="J12:J13" si="3">I12*H12</f>
        <v>0</v>
      </c>
      <c r="K12" s="428">
        <f t="shared" ref="K12:K13" si="4">J12*4</f>
        <v>0</v>
      </c>
      <c r="L12" s="603"/>
    </row>
    <row r="13" spans="2:14" ht="27" customHeight="1" x14ac:dyDescent="0.25">
      <c r="B13" s="585" t="s">
        <v>844</v>
      </c>
      <c r="C13" s="427" t="s">
        <v>845</v>
      </c>
      <c r="D13" s="527" t="str">
        <f>'FE Assumptions'!$B$39</f>
        <v>FAO Schwarz</v>
      </c>
      <c r="E13" s="426">
        <f>'FE Assumptions'!D39/'Logistics of Transportation'!$D$5</f>
        <v>0</v>
      </c>
      <c r="F13" s="529">
        <f t="shared" si="1"/>
        <v>0</v>
      </c>
      <c r="G13" s="427">
        <v>1</v>
      </c>
      <c r="H13" s="549">
        <f t="shared" si="2"/>
        <v>0</v>
      </c>
      <c r="I13" s="546">
        <v>0</v>
      </c>
      <c r="J13" s="547">
        <f t="shared" si="3"/>
        <v>0</v>
      </c>
      <c r="K13" s="428">
        <f t="shared" si="4"/>
        <v>0</v>
      </c>
      <c r="L13" s="603"/>
    </row>
    <row r="14" spans="2:14" ht="27" customHeight="1" x14ac:dyDescent="0.25">
      <c r="B14" s="586" t="s">
        <v>846</v>
      </c>
      <c r="C14" s="429" t="s">
        <v>847</v>
      </c>
      <c r="D14" s="430" t="str">
        <f>'FE Assumptions'!$B$41</f>
        <v>Walmart</v>
      </c>
      <c r="E14" s="426">
        <f>'FE Assumptions'!D41/'Logistics of Transportation'!$D$5</f>
        <v>0</v>
      </c>
      <c r="F14" s="529">
        <f t="shared" si="1"/>
        <v>0</v>
      </c>
      <c r="G14" s="551">
        <v>4</v>
      </c>
      <c r="H14" s="550">
        <f>(F14/G14)/4</f>
        <v>0</v>
      </c>
      <c r="I14" s="546">
        <v>0</v>
      </c>
      <c r="J14" s="548">
        <f>I14*H14</f>
        <v>0</v>
      </c>
      <c r="K14" s="431">
        <f>J14*4</f>
        <v>0</v>
      </c>
      <c r="L14" s="603"/>
    </row>
    <row r="15" spans="2:14" ht="27" customHeight="1" x14ac:dyDescent="0.25">
      <c r="B15" s="586" t="s">
        <v>846</v>
      </c>
      <c r="C15" s="429" t="s">
        <v>847</v>
      </c>
      <c r="D15" s="430" t="str">
        <f>'FE Assumptions'!$B$42</f>
        <v>Target</v>
      </c>
      <c r="E15" s="426">
        <f>'FE Assumptions'!D42/'Logistics of Transportation'!$D$5</f>
        <v>0</v>
      </c>
      <c r="F15" s="529">
        <f t="shared" si="1"/>
        <v>0</v>
      </c>
      <c r="G15" s="551">
        <v>4</v>
      </c>
      <c r="H15" s="550">
        <f>(F15/G15)/4</f>
        <v>0</v>
      </c>
      <c r="I15" s="546">
        <v>0</v>
      </c>
      <c r="J15" s="548">
        <f>I15*H15</f>
        <v>0</v>
      </c>
      <c r="K15" s="431">
        <f>J15*4</f>
        <v>0</v>
      </c>
      <c r="L15" s="603"/>
    </row>
    <row r="16" spans="2:14" ht="27" customHeight="1" x14ac:dyDescent="0.25">
      <c r="B16" s="586" t="s">
        <v>846</v>
      </c>
      <c r="C16" s="429" t="s">
        <v>847</v>
      </c>
      <c r="D16" s="430" t="str">
        <f>'FE Assumptions'!$B$43</f>
        <v>Kohl's</v>
      </c>
      <c r="E16" s="426">
        <f>'FE Assumptions'!D43/'Logistics of Transportation'!$D$5</f>
        <v>0</v>
      </c>
      <c r="F16" s="529">
        <f t="shared" si="1"/>
        <v>0</v>
      </c>
      <c r="G16" s="551">
        <v>4</v>
      </c>
      <c r="H16" s="550">
        <f>(F16/G16)/4</f>
        <v>0</v>
      </c>
      <c r="I16" s="546">
        <v>0</v>
      </c>
      <c r="J16" s="548">
        <f t="shared" ref="J16" si="5">I16*H16</f>
        <v>0</v>
      </c>
      <c r="K16" s="431">
        <f>J16*4</f>
        <v>0</v>
      </c>
      <c r="L16" s="603"/>
    </row>
    <row r="17" spans="2:14" ht="19" x14ac:dyDescent="0.25">
      <c r="B17" s="587"/>
      <c r="C17" s="432"/>
      <c r="D17" s="432"/>
      <c r="E17" s="432"/>
      <c r="F17" s="432"/>
      <c r="G17" s="432"/>
      <c r="H17" s="432"/>
      <c r="I17" s="433"/>
      <c r="J17" s="433"/>
      <c r="K17" s="433"/>
      <c r="L17" s="433"/>
    </row>
    <row r="18" spans="2:14" ht="20" x14ac:dyDescent="0.25">
      <c r="B18" s="588"/>
      <c r="C18" s="589"/>
      <c r="D18" s="589"/>
      <c r="E18" s="589"/>
      <c r="F18" s="598"/>
      <c r="G18" s="589"/>
      <c r="H18" s="598"/>
      <c r="I18" s="590" t="s">
        <v>848</v>
      </c>
      <c r="J18" s="591">
        <f>SUM(J7:J17)</f>
        <v>2622.2917434155606</v>
      </c>
      <c r="K18" s="591">
        <f>SUM(K7:K17)</f>
        <v>7355.5834868311213</v>
      </c>
      <c r="L18" s="605"/>
    </row>
    <row r="22" spans="2:14" ht="21" x14ac:dyDescent="0.25">
      <c r="B22" s="1836" t="s">
        <v>849</v>
      </c>
      <c r="C22" s="1837"/>
      <c r="D22" s="419">
        <f>'FE Assumptions'!E$45</f>
        <v>26947.000000000004</v>
      </c>
      <c r="E22" s="420"/>
      <c r="F22" s="420"/>
      <c r="G22" s="420"/>
      <c r="H22" s="420"/>
      <c r="I22" s="420"/>
      <c r="J22" s="420"/>
      <c r="K22" s="420"/>
      <c r="L22" s="420"/>
    </row>
    <row r="23" spans="2:14" ht="140" x14ac:dyDescent="0.25">
      <c r="B23" s="421" t="s">
        <v>825</v>
      </c>
      <c r="C23" s="422" t="s">
        <v>826</v>
      </c>
      <c r="D23" s="422" t="s">
        <v>827</v>
      </c>
      <c r="E23" s="423" t="s">
        <v>828</v>
      </c>
      <c r="F23" s="423" t="s">
        <v>829</v>
      </c>
      <c r="G23" s="423" t="s">
        <v>830</v>
      </c>
      <c r="H23" s="423" t="s">
        <v>831</v>
      </c>
      <c r="I23" s="423" t="s">
        <v>832</v>
      </c>
      <c r="J23" s="423" t="s">
        <v>833</v>
      </c>
      <c r="K23" s="424" t="s">
        <v>834</v>
      </c>
      <c r="L23" s="602"/>
    </row>
    <row r="24" spans="2:14" ht="48" customHeight="1" x14ac:dyDescent="0.25">
      <c r="B24" s="425" t="s">
        <v>835</v>
      </c>
      <c r="C24" s="425" t="s">
        <v>836</v>
      </c>
      <c r="D24" s="526" t="str">
        <f>'FE Assumptions'!$B$32</f>
        <v>The Toy Maven - Preston Hollow</v>
      </c>
      <c r="E24" s="426">
        <f>'FE Assumptions'!E32/'Logistics of Transportation'!$D$22</f>
        <v>0.11764705882352944</v>
      </c>
      <c r="F24" s="529">
        <f>E24*$D$22</f>
        <v>3170.2352941176482</v>
      </c>
      <c r="G24" s="427">
        <v>1</v>
      </c>
      <c r="H24" s="545">
        <f>(F24/G24)/2</f>
        <v>1585.1176470588241</v>
      </c>
      <c r="I24" s="546">
        <f>J24/H24</f>
        <v>0.31726982595465164</v>
      </c>
      <c r="J24" s="547">
        <v>502.91</v>
      </c>
      <c r="K24" s="428">
        <f>J24*2</f>
        <v>1005.82</v>
      </c>
      <c r="L24" s="603">
        <f>I24*F24</f>
        <v>1005.82</v>
      </c>
      <c r="M24" s="1256" t="s">
        <v>837</v>
      </c>
      <c r="N24" s="1256">
        <f>H24/78</f>
        <v>20.322021116138771</v>
      </c>
    </row>
    <row r="25" spans="2:14" ht="48" customHeight="1" x14ac:dyDescent="0.25">
      <c r="B25" s="425" t="s">
        <v>835</v>
      </c>
      <c r="C25" s="425" t="s">
        <v>836</v>
      </c>
      <c r="D25" s="526" t="str">
        <f>'FE Assumptions'!$B$33</f>
        <v>Kip's Toyland</v>
      </c>
      <c r="E25" s="426">
        <f>'FE Assumptions'!E33/'Logistics of Transportation'!$D$22</f>
        <v>0.1470588235294118</v>
      </c>
      <c r="F25" s="529">
        <f>E25*$D$22</f>
        <v>3962.7941176470604</v>
      </c>
      <c r="G25" s="554">
        <v>1</v>
      </c>
      <c r="H25" s="549">
        <f t="shared" ref="H25" si="6">(F25/G25)/2</f>
        <v>1981.3970588235302</v>
      </c>
      <c r="I25" s="552">
        <f>J25/H25</f>
        <v>0.48400192971388262</v>
      </c>
      <c r="J25" s="553">
        <v>959</v>
      </c>
      <c r="K25" s="573">
        <f t="shared" ref="K25" si="7">J25*2</f>
        <v>1918</v>
      </c>
      <c r="L25" s="606">
        <f>I25*F25</f>
        <v>1918</v>
      </c>
      <c r="M25" s="1010" t="s">
        <v>838</v>
      </c>
      <c r="N25" s="1256"/>
    </row>
    <row r="26" spans="2:14" ht="48" customHeight="1" x14ac:dyDescent="0.25">
      <c r="B26" s="425" t="s">
        <v>835</v>
      </c>
      <c r="C26" s="425" t="s">
        <v>836</v>
      </c>
      <c r="D26" s="526" t="str">
        <f>'FE Assumptions'!$B$34</f>
        <v>Toy's That Teach</v>
      </c>
      <c r="E26" s="426">
        <f>'FE Assumptions'!E34/'Logistics of Transportation'!$D$22</f>
        <v>2.9411764705882359E-2</v>
      </c>
      <c r="F26" s="529">
        <f>E26*$D$22</f>
        <v>792.55882352941205</v>
      </c>
      <c r="G26" s="427">
        <v>1</v>
      </c>
      <c r="H26" s="549">
        <f>(F26/G26)/2</f>
        <v>396.27941176470603</v>
      </c>
      <c r="I26" s="546">
        <f>0.1*'OM Assumptions'!D73</f>
        <v>2.6583200265098728</v>
      </c>
      <c r="J26" s="547">
        <f>I26*H26</f>
        <v>1053.4374963876701</v>
      </c>
      <c r="K26" s="428">
        <f>J26*2</f>
        <v>2106.8749927753402</v>
      </c>
      <c r="L26" s="603">
        <f>I26*F26</f>
        <v>2106.8749927753402</v>
      </c>
      <c r="M26" s="1339"/>
      <c r="N26" s="1340" t="s">
        <v>840</v>
      </c>
    </row>
    <row r="27" spans="2:14" ht="48" customHeight="1" x14ac:dyDescent="0.25">
      <c r="B27" s="425" t="s">
        <v>841</v>
      </c>
      <c r="C27" s="425" t="s">
        <v>842</v>
      </c>
      <c r="D27" s="526" t="s">
        <v>843</v>
      </c>
      <c r="E27" s="426">
        <f>'FE Assumptions'!E36/'Logistics of Transportation'!D22</f>
        <v>0.70588235294117652</v>
      </c>
      <c r="F27" s="530">
        <f>D22*E27</f>
        <v>19021.411764705885</v>
      </c>
      <c r="G27" s="554">
        <v>1</v>
      </c>
      <c r="H27" s="549">
        <f>(F27/G27)/4</f>
        <v>4755.3529411764712</v>
      </c>
      <c r="I27" s="546">
        <f>J27/H27</f>
        <v>0.33069469699781046</v>
      </c>
      <c r="J27" s="553">
        <f>1572.57</f>
        <v>1572.57</v>
      </c>
      <c r="K27" s="428">
        <f>J27*4</f>
        <v>6290.28</v>
      </c>
      <c r="L27" s="603">
        <f>I27*F27</f>
        <v>6290.28</v>
      </c>
      <c r="M27" s="600"/>
    </row>
    <row r="28" spans="2:14" ht="20" x14ac:dyDescent="0.25">
      <c r="B28" s="554" t="s">
        <v>844</v>
      </c>
      <c r="C28" s="554" t="s">
        <v>845</v>
      </c>
      <c r="D28" s="570" t="str">
        <f>'FE Assumptions'!$B$37</f>
        <v>Learning Express</v>
      </c>
      <c r="E28" s="571">
        <f>'FE Assumptions'!E37/'Logistics of Transportation'!$D$22</f>
        <v>0</v>
      </c>
      <c r="F28" s="572">
        <f t="shared" ref="F28:F33" si="8">E28*$D$5</f>
        <v>0</v>
      </c>
      <c r="G28" s="554">
        <v>4</v>
      </c>
      <c r="H28" s="549">
        <f>(F28/G28)/4</f>
        <v>0</v>
      </c>
      <c r="I28" s="546">
        <v>0</v>
      </c>
      <c r="J28" s="553">
        <f>I28*H28</f>
        <v>0</v>
      </c>
      <c r="K28" s="573">
        <f>J28*4</f>
        <v>0</v>
      </c>
      <c r="L28" s="604"/>
    </row>
    <row r="29" spans="2:14" ht="20" x14ac:dyDescent="0.25">
      <c r="B29" s="427" t="s">
        <v>844</v>
      </c>
      <c r="C29" s="427" t="s">
        <v>845</v>
      </c>
      <c r="D29" s="527" t="str">
        <f>'FE Assumptions'!$B$38</f>
        <v>Hobby Town</v>
      </c>
      <c r="E29" s="426">
        <f>'FE Assumptions'!E38/'Logistics of Transportation'!$D$22</f>
        <v>0</v>
      </c>
      <c r="F29" s="529">
        <f t="shared" si="8"/>
        <v>0</v>
      </c>
      <c r="G29" s="427">
        <v>2</v>
      </c>
      <c r="H29" s="545">
        <f t="shared" ref="H29:H30" si="9">(F29/G29)/4</f>
        <v>0</v>
      </c>
      <c r="I29" s="546">
        <v>0</v>
      </c>
      <c r="J29" s="547">
        <f t="shared" ref="J29:J30" si="10">I29*H29</f>
        <v>0</v>
      </c>
      <c r="K29" s="428">
        <f t="shared" ref="K29:K30" si="11">J29*4</f>
        <v>0</v>
      </c>
      <c r="L29" s="603"/>
    </row>
    <row r="30" spans="2:14" ht="20" x14ac:dyDescent="0.25">
      <c r="B30" s="427" t="s">
        <v>844</v>
      </c>
      <c r="C30" s="427" t="s">
        <v>845</v>
      </c>
      <c r="D30" s="527" t="str">
        <f>'FE Assumptions'!$B$39</f>
        <v>FAO Schwarz</v>
      </c>
      <c r="E30" s="426">
        <f>'FE Assumptions'!E39/'Logistics of Transportation'!$D$22</f>
        <v>0</v>
      </c>
      <c r="F30" s="529">
        <f t="shared" si="8"/>
        <v>0</v>
      </c>
      <c r="G30" s="427">
        <v>1</v>
      </c>
      <c r="H30" s="549">
        <f t="shared" si="9"/>
        <v>0</v>
      </c>
      <c r="I30" s="546">
        <v>0</v>
      </c>
      <c r="J30" s="547">
        <f t="shared" si="10"/>
        <v>0</v>
      </c>
      <c r="K30" s="428">
        <f t="shared" si="11"/>
        <v>0</v>
      </c>
      <c r="L30" s="603"/>
    </row>
    <row r="31" spans="2:14" ht="20" x14ac:dyDescent="0.25">
      <c r="B31" s="429" t="s">
        <v>846</v>
      </c>
      <c r="C31" s="429" t="s">
        <v>847</v>
      </c>
      <c r="D31" s="430" t="str">
        <f>'FE Assumptions'!$B$41</f>
        <v>Walmart</v>
      </c>
      <c r="E31" s="426">
        <f>'FE Assumptions'!E41/'Logistics of Transportation'!$D$22</f>
        <v>0</v>
      </c>
      <c r="F31" s="529">
        <f t="shared" si="8"/>
        <v>0</v>
      </c>
      <c r="G31" s="551">
        <v>4</v>
      </c>
      <c r="H31" s="550">
        <f>(F31/G31)/4</f>
        <v>0</v>
      </c>
      <c r="I31" s="546">
        <v>0</v>
      </c>
      <c r="J31" s="548">
        <f>I31*H31</f>
        <v>0</v>
      </c>
      <c r="K31" s="431">
        <f>J31*4</f>
        <v>0</v>
      </c>
      <c r="L31" s="603"/>
    </row>
    <row r="32" spans="2:14" ht="20" x14ac:dyDescent="0.25">
      <c r="B32" s="429" t="s">
        <v>846</v>
      </c>
      <c r="C32" s="429" t="s">
        <v>847</v>
      </c>
      <c r="D32" s="430" t="str">
        <f>'FE Assumptions'!$B$42</f>
        <v>Target</v>
      </c>
      <c r="E32" s="426">
        <f>'FE Assumptions'!E42/'Logistics of Transportation'!$D$22</f>
        <v>0</v>
      </c>
      <c r="F32" s="529">
        <f t="shared" si="8"/>
        <v>0</v>
      </c>
      <c r="G32" s="551">
        <v>4</v>
      </c>
      <c r="H32" s="550">
        <f>(F32/G32)/4</f>
        <v>0</v>
      </c>
      <c r="I32" s="546">
        <v>0</v>
      </c>
      <c r="J32" s="548">
        <f>I32*H32</f>
        <v>0</v>
      </c>
      <c r="K32" s="431">
        <f>J32*4</f>
        <v>0</v>
      </c>
      <c r="L32" s="603"/>
    </row>
    <row r="33" spans="2:15" ht="20" x14ac:dyDescent="0.25">
      <c r="B33" s="429" t="s">
        <v>846</v>
      </c>
      <c r="C33" s="429" t="s">
        <v>847</v>
      </c>
      <c r="D33" s="430" t="str">
        <f>'FE Assumptions'!$B$43</f>
        <v>Kohl's</v>
      </c>
      <c r="E33" s="426">
        <f>'FE Assumptions'!E43/'Logistics of Transportation'!$D$22</f>
        <v>0</v>
      </c>
      <c r="F33" s="529">
        <f t="shared" si="8"/>
        <v>0</v>
      </c>
      <c r="G33" s="551">
        <v>4</v>
      </c>
      <c r="H33" s="550">
        <f>(F33/G33)/4</f>
        <v>0</v>
      </c>
      <c r="I33" s="546">
        <v>0</v>
      </c>
      <c r="J33" s="548">
        <f>I33*H33</f>
        <v>0</v>
      </c>
      <c r="K33" s="431">
        <f>J33*4</f>
        <v>0</v>
      </c>
      <c r="L33" s="603"/>
    </row>
    <row r="34" spans="2:15" ht="19" x14ac:dyDescent="0.25">
      <c r="B34" s="432"/>
      <c r="C34" s="432"/>
      <c r="D34" s="432"/>
      <c r="E34" s="432"/>
      <c r="F34" s="528">
        <f>SUM(F24:F27)</f>
        <v>26947.000000000004</v>
      </c>
      <c r="G34" s="432"/>
      <c r="H34" s="432"/>
      <c r="I34" s="433"/>
      <c r="J34" s="433"/>
      <c r="K34" s="433"/>
      <c r="L34" s="433"/>
    </row>
    <row r="35" spans="2:15" ht="20" x14ac:dyDescent="0.25">
      <c r="B35" s="432"/>
      <c r="C35" s="432"/>
      <c r="D35" s="432"/>
      <c r="E35" s="432"/>
      <c r="F35" s="432"/>
      <c r="G35" s="432"/>
      <c r="H35" s="432"/>
      <c r="I35" s="434" t="s">
        <v>848</v>
      </c>
      <c r="J35" s="435">
        <f>SUM(J25:J34)</f>
        <v>3585.00749638767</v>
      </c>
      <c r="K35" s="435">
        <f>SUM(K25:K34)</f>
        <v>10315.15499277534</v>
      </c>
      <c r="L35" s="605"/>
    </row>
    <row r="36" spans="2:15" ht="19" x14ac:dyDescent="0.25">
      <c r="B36" s="433"/>
      <c r="C36" s="433"/>
      <c r="D36" s="433"/>
      <c r="E36" s="433"/>
      <c r="F36" s="433"/>
      <c r="G36" s="433"/>
      <c r="H36" s="433"/>
      <c r="I36" s="524"/>
      <c r="J36" s="525"/>
      <c r="K36" s="525"/>
      <c r="L36" s="525"/>
    </row>
    <row r="37" spans="2:15" ht="19" x14ac:dyDescent="0.25">
      <c r="B37" s="433"/>
      <c r="C37" s="433"/>
      <c r="D37" s="433"/>
      <c r="E37" s="433"/>
      <c r="F37" s="433"/>
      <c r="G37" s="433"/>
      <c r="H37" s="433"/>
      <c r="I37" s="524"/>
      <c r="J37" s="525"/>
      <c r="K37" s="525"/>
      <c r="L37" s="525"/>
    </row>
    <row r="38" spans="2:15" ht="21" x14ac:dyDescent="0.25">
      <c r="B38" s="1836" t="s">
        <v>850</v>
      </c>
      <c r="C38" s="1837"/>
      <c r="D38" s="419">
        <f>'FE Assumptions'!F45</f>
        <v>70988</v>
      </c>
      <c r="E38" s="420"/>
      <c r="F38" s="420"/>
      <c r="G38" s="420"/>
      <c r="H38" s="420"/>
      <c r="I38" s="420"/>
      <c r="J38" s="420"/>
      <c r="K38" s="420"/>
      <c r="L38" s="420"/>
    </row>
    <row r="39" spans="2:15" ht="140" x14ac:dyDescent="0.25">
      <c r="B39" s="421" t="s">
        <v>825</v>
      </c>
      <c r="C39" s="422" t="s">
        <v>826</v>
      </c>
      <c r="D39" s="422" t="s">
        <v>827</v>
      </c>
      <c r="E39" s="423" t="s">
        <v>828</v>
      </c>
      <c r="F39" s="423" t="s">
        <v>829</v>
      </c>
      <c r="G39" s="423" t="s">
        <v>830</v>
      </c>
      <c r="H39" s="423" t="s">
        <v>831</v>
      </c>
      <c r="I39" s="423" t="s">
        <v>832</v>
      </c>
      <c r="J39" s="423" t="s">
        <v>833</v>
      </c>
      <c r="K39" s="424" t="s">
        <v>834</v>
      </c>
      <c r="L39" s="602"/>
    </row>
    <row r="40" spans="2:15" ht="52" x14ac:dyDescent="0.25">
      <c r="B40" s="425" t="s">
        <v>835</v>
      </c>
      <c r="C40" s="425" t="s">
        <v>836</v>
      </c>
      <c r="D40" s="526" t="str">
        <f>'FE Assumptions'!$B$32</f>
        <v>The Toy Maven - Preston Hollow</v>
      </c>
      <c r="E40" s="426">
        <f>'FE Assumptions'!F32/'Logistics of Transportation'!$D$38</f>
        <v>0.10909090909090909</v>
      </c>
      <c r="F40" s="529">
        <f t="shared" ref="F40:F49" si="12">E40*$D$38</f>
        <v>7744.1454545454544</v>
      </c>
      <c r="G40" s="427">
        <v>1</v>
      </c>
      <c r="H40" s="545">
        <f>(F40/G40)/2</f>
        <v>3872.0727272727272</v>
      </c>
      <c r="I40" s="546">
        <f>J40/H40</f>
        <v>0.2597833436637178</v>
      </c>
      <c r="J40" s="547">
        <v>1005.9</v>
      </c>
      <c r="K40" s="428">
        <f>J40*2</f>
        <v>2011.8</v>
      </c>
      <c r="L40" s="603">
        <f t="shared" ref="L40:L46" si="13">I40*F40</f>
        <v>2011.8</v>
      </c>
      <c r="M40" s="1256" t="s">
        <v>837</v>
      </c>
      <c r="N40" s="1341"/>
    </row>
    <row r="41" spans="2:15" ht="40" x14ac:dyDescent="0.25">
      <c r="B41" s="425" t="s">
        <v>835</v>
      </c>
      <c r="C41" s="425" t="s">
        <v>836</v>
      </c>
      <c r="D41" s="526" t="str">
        <f>'FE Assumptions'!$B$33</f>
        <v>Kip's Toyland</v>
      </c>
      <c r="E41" s="426">
        <f>'FE Assumptions'!F33/'Logistics of Transportation'!$D$38</f>
        <v>0.13636363636363635</v>
      </c>
      <c r="F41" s="529">
        <f t="shared" si="12"/>
        <v>9680.181818181818</v>
      </c>
      <c r="G41" s="427">
        <v>1</v>
      </c>
      <c r="H41" s="545">
        <f t="shared" ref="H41" si="14">(F41/G41)/2</f>
        <v>4840.090909090909</v>
      </c>
      <c r="I41" s="546">
        <f>J41/H41</f>
        <v>0.45399147273717627</v>
      </c>
      <c r="J41" s="547">
        <v>2197.36</v>
      </c>
      <c r="K41" s="428">
        <f t="shared" ref="K41" si="15">J41*2</f>
        <v>4394.72</v>
      </c>
      <c r="L41" s="603">
        <f t="shared" si="13"/>
        <v>4394.72</v>
      </c>
      <c r="M41" s="1010" t="s">
        <v>838</v>
      </c>
      <c r="N41" s="1256"/>
      <c r="O41" s="600"/>
    </row>
    <row r="42" spans="2:15" ht="40" x14ac:dyDescent="0.25">
      <c r="B42" s="425" t="s">
        <v>835</v>
      </c>
      <c r="C42" s="425" t="s">
        <v>836</v>
      </c>
      <c r="D42" s="526" t="str">
        <f>'FE Assumptions'!$B$34</f>
        <v>Toy's That Teach</v>
      </c>
      <c r="E42" s="426">
        <f>'FE Assumptions'!F34/'Logistics of Transportation'!$D$38</f>
        <v>2.7272727272727271E-2</v>
      </c>
      <c r="F42" s="529">
        <f t="shared" si="12"/>
        <v>1936.0363636363636</v>
      </c>
      <c r="G42" s="427">
        <v>1</v>
      </c>
      <c r="H42" s="549">
        <f>(F42/G42)/2</f>
        <v>968.0181818181818</v>
      </c>
      <c r="I42" s="546">
        <f>0.1*'OM Assumptions'!$E$73</f>
        <v>2.1314549584023852</v>
      </c>
      <c r="J42" s="547">
        <f>I42*H42</f>
        <v>2063.2871534600254</v>
      </c>
      <c r="K42" s="428">
        <f>J42*2</f>
        <v>4126.5743069200507</v>
      </c>
      <c r="L42" s="603">
        <f t="shared" si="13"/>
        <v>4126.5743069200507</v>
      </c>
      <c r="M42" s="538" t="s">
        <v>840</v>
      </c>
    </row>
    <row r="43" spans="2:15" ht="40" x14ac:dyDescent="0.25">
      <c r="B43" s="425" t="s">
        <v>841</v>
      </c>
      <c r="C43" s="425" t="s">
        <v>842</v>
      </c>
      <c r="D43" s="526" t="s">
        <v>843</v>
      </c>
      <c r="E43" s="426">
        <f>'FE Assumptions'!F36/'Logistics of Transportation'!D38</f>
        <v>0.54545454545454541</v>
      </c>
      <c r="F43" s="529">
        <f t="shared" si="12"/>
        <v>38720.727272727272</v>
      </c>
      <c r="G43" s="555">
        <v>1</v>
      </c>
      <c r="H43" s="556">
        <f>(F43/G43)/4</f>
        <v>9680.181818181818</v>
      </c>
      <c r="I43" s="546">
        <f>J43/H43</f>
        <v>0.34455551172968202</v>
      </c>
      <c r="J43" s="553">
        <f>3335.36</f>
        <v>3335.36</v>
      </c>
      <c r="K43" s="428">
        <f>J43*4</f>
        <v>13341.44</v>
      </c>
      <c r="L43" s="603">
        <f t="shared" si="13"/>
        <v>13341.44</v>
      </c>
    </row>
    <row r="44" spans="2:15" ht="20" x14ac:dyDescent="0.25">
      <c r="B44" s="554" t="s">
        <v>844</v>
      </c>
      <c r="C44" s="554" t="s">
        <v>845</v>
      </c>
      <c r="D44" s="570" t="str">
        <f>'FE Assumptions'!$B$37</f>
        <v>Learning Express</v>
      </c>
      <c r="E44" s="571">
        <f>'FE Assumptions'!F37/'Logistics of Transportation'!$D$38</f>
        <v>0</v>
      </c>
      <c r="F44" s="572">
        <f t="shared" si="12"/>
        <v>0</v>
      </c>
      <c r="G44" s="554">
        <v>4</v>
      </c>
      <c r="H44" s="549">
        <f>(F44/G44)/4</f>
        <v>0</v>
      </c>
      <c r="I44" s="546">
        <v>0</v>
      </c>
      <c r="J44" s="547">
        <f>I44*H44*G44</f>
        <v>0</v>
      </c>
      <c r="K44" s="573">
        <f>J44*4</f>
        <v>0</v>
      </c>
      <c r="L44" s="606">
        <f t="shared" si="13"/>
        <v>0</v>
      </c>
      <c r="M44" s="600"/>
    </row>
    <row r="45" spans="2:15" ht="20" x14ac:dyDescent="0.25">
      <c r="B45" s="427" t="s">
        <v>844</v>
      </c>
      <c r="C45" s="427" t="s">
        <v>845</v>
      </c>
      <c r="D45" s="527" t="str">
        <f>'FE Assumptions'!$B$38</f>
        <v>Hobby Town</v>
      </c>
      <c r="E45" s="426">
        <f>'FE Assumptions'!F38/'Logistics of Transportation'!$D$38</f>
        <v>0.18181818181818182</v>
      </c>
      <c r="F45" s="529">
        <f>E45*$D$38</f>
        <v>12906.909090909092</v>
      </c>
      <c r="G45" s="427">
        <v>2</v>
      </c>
      <c r="H45" s="545">
        <f t="shared" ref="H45:H46" si="16">(F45/G45)/4</f>
        <v>1613.3636363636365</v>
      </c>
      <c r="I45" s="546">
        <f>0.1*'OM Assumptions'!$E$73</f>
        <v>2.1314549584023852</v>
      </c>
      <c r="J45" s="547">
        <f>I45*H45*G45</f>
        <v>6877.6238448667518</v>
      </c>
      <c r="K45" s="428">
        <f>J45*4</f>
        <v>27510.495379467007</v>
      </c>
      <c r="L45" s="603">
        <f t="shared" si="13"/>
        <v>27510.495379467007</v>
      </c>
      <c r="M45" s="600"/>
    </row>
    <row r="46" spans="2:15" ht="30" x14ac:dyDescent="0.3">
      <c r="B46" s="427" t="s">
        <v>844</v>
      </c>
      <c r="C46" s="427" t="s">
        <v>845</v>
      </c>
      <c r="D46" s="527" t="str">
        <f>'FE Assumptions'!$B$39</f>
        <v>FAO Schwarz</v>
      </c>
      <c r="E46" s="426">
        <f>'FE Assumptions'!F39/'Logistics of Transportation'!$D$38</f>
        <v>0</v>
      </c>
      <c r="F46" s="529">
        <f t="shared" si="12"/>
        <v>0</v>
      </c>
      <c r="G46" s="427">
        <v>1</v>
      </c>
      <c r="H46" s="545">
        <f t="shared" si="16"/>
        <v>0</v>
      </c>
      <c r="I46" s="546">
        <v>0</v>
      </c>
      <c r="J46" s="547">
        <f>I46*H46*G46</f>
        <v>0</v>
      </c>
      <c r="K46" s="428">
        <f t="shared" ref="K46" si="17">J46*4</f>
        <v>0</v>
      </c>
      <c r="L46" s="603">
        <f t="shared" si="13"/>
        <v>0</v>
      </c>
      <c r="M46" s="600"/>
      <c r="N46" s="576"/>
    </row>
    <row r="47" spans="2:15" ht="20" x14ac:dyDescent="0.25">
      <c r="B47" s="429" t="s">
        <v>846</v>
      </c>
      <c r="C47" s="429" t="s">
        <v>847</v>
      </c>
      <c r="D47" s="430" t="str">
        <f>'FE Assumptions'!$B$41</f>
        <v>Walmart</v>
      </c>
      <c r="E47" s="426">
        <f>'FE Assumptions'!F41/'Logistics of Transportation'!$D$38</f>
        <v>0</v>
      </c>
      <c r="F47" s="529">
        <f t="shared" si="12"/>
        <v>0</v>
      </c>
      <c r="G47" s="551">
        <v>4</v>
      </c>
      <c r="H47" s="550">
        <f>(F47/G47)/4</f>
        <v>0</v>
      </c>
      <c r="I47" s="546">
        <v>0</v>
      </c>
      <c r="J47" s="548">
        <f>I47*H47</f>
        <v>0</v>
      </c>
      <c r="K47" s="431">
        <f>J47*4</f>
        <v>0</v>
      </c>
      <c r="L47" s="603"/>
    </row>
    <row r="48" spans="2:15" ht="20" x14ac:dyDescent="0.25">
      <c r="B48" s="429" t="s">
        <v>846</v>
      </c>
      <c r="C48" s="429" t="s">
        <v>847</v>
      </c>
      <c r="D48" s="430" t="str">
        <f>'FE Assumptions'!$B$42</f>
        <v>Target</v>
      </c>
      <c r="E48" s="426">
        <f>'FE Assumptions'!F42/'Logistics of Transportation'!$D$38</f>
        <v>0</v>
      </c>
      <c r="F48" s="529">
        <f t="shared" si="12"/>
        <v>0</v>
      </c>
      <c r="G48" s="551">
        <v>4</v>
      </c>
      <c r="H48" s="550">
        <f>(F48/G48)/4</f>
        <v>0</v>
      </c>
      <c r="I48" s="546">
        <v>0</v>
      </c>
      <c r="J48" s="548">
        <f>I48*H48</f>
        <v>0</v>
      </c>
      <c r="K48" s="431">
        <f>J48*4</f>
        <v>0</v>
      </c>
      <c r="L48" s="603"/>
    </row>
    <row r="49" spans="2:24" ht="20" x14ac:dyDescent="0.25">
      <c r="B49" s="429" t="s">
        <v>846</v>
      </c>
      <c r="C49" s="429" t="s">
        <v>847</v>
      </c>
      <c r="D49" s="430" t="str">
        <f>'FE Assumptions'!$B$43</f>
        <v>Kohl's</v>
      </c>
      <c r="E49" s="426">
        <f>'FE Assumptions'!F43/'Logistics of Transportation'!$D$38</f>
        <v>0</v>
      </c>
      <c r="F49" s="529">
        <f t="shared" si="12"/>
        <v>0</v>
      </c>
      <c r="G49" s="551">
        <v>4</v>
      </c>
      <c r="H49" s="550">
        <f>(F49/G49)/4</f>
        <v>0</v>
      </c>
      <c r="I49" s="546">
        <v>0</v>
      </c>
      <c r="J49" s="548">
        <f>I49*H49</f>
        <v>0</v>
      </c>
      <c r="K49" s="431">
        <f>J49*4</f>
        <v>0</v>
      </c>
      <c r="L49" s="603"/>
    </row>
    <row r="50" spans="2:24" ht="19" x14ac:dyDescent="0.25">
      <c r="B50" s="432"/>
      <c r="C50" s="432"/>
      <c r="D50" s="432"/>
      <c r="E50" s="474"/>
      <c r="F50" s="528">
        <f>SUM(F40:F49)</f>
        <v>70988</v>
      </c>
      <c r="G50" s="432"/>
      <c r="H50" s="432"/>
      <c r="I50" s="433"/>
      <c r="J50" s="433"/>
      <c r="K50" s="433"/>
      <c r="L50" s="433"/>
    </row>
    <row r="51" spans="2:24" ht="21" customHeight="1" x14ac:dyDescent="0.25">
      <c r="B51" s="432"/>
      <c r="C51" s="432"/>
      <c r="D51" s="432"/>
      <c r="E51" s="432"/>
      <c r="F51" s="432"/>
      <c r="G51" s="432"/>
      <c r="H51" s="432"/>
      <c r="I51" s="434" t="s">
        <v>848</v>
      </c>
      <c r="J51" s="435">
        <f>SUM(J41:J50)</f>
        <v>14473.630998326778</v>
      </c>
      <c r="K51" s="435">
        <f>SUM(K41:K50)</f>
        <v>49373.229686387058</v>
      </c>
      <c r="L51" s="605"/>
    </row>
    <row r="52" spans="2:24" ht="21" customHeight="1" x14ac:dyDescent="0.25">
      <c r="B52" s="433"/>
      <c r="C52" s="433"/>
      <c r="D52" s="433"/>
      <c r="E52" s="433"/>
      <c r="F52" s="433"/>
      <c r="G52" s="433"/>
      <c r="H52" s="433"/>
      <c r="I52" s="524"/>
      <c r="J52" s="525"/>
      <c r="K52" s="525"/>
      <c r="L52" s="525"/>
    </row>
    <row r="53" spans="2:24" ht="21" customHeight="1" x14ac:dyDescent="0.25">
      <c r="B53" s="433"/>
      <c r="C53" s="433"/>
      <c r="D53" s="433"/>
      <c r="E53" s="433"/>
      <c r="F53" s="433"/>
      <c r="G53" s="433"/>
      <c r="H53" s="433"/>
      <c r="I53" s="524"/>
      <c r="J53" s="525"/>
      <c r="K53" s="525"/>
      <c r="L53" s="525"/>
    </row>
    <row r="54" spans="2:24" ht="21" x14ac:dyDescent="0.25">
      <c r="B54" s="1836" t="s">
        <v>851</v>
      </c>
      <c r="C54" s="1837"/>
      <c r="D54" s="1794">
        <f>'FE Assumptions'!G45</f>
        <v>121817.7332882349</v>
      </c>
      <c r="E54" s="420"/>
      <c r="F54" s="420"/>
      <c r="G54" s="420"/>
      <c r="H54" s="420"/>
      <c r="I54" s="420"/>
      <c r="J54" s="420"/>
      <c r="K54" s="420"/>
      <c r="L54" s="420"/>
      <c r="R54" s="476"/>
      <c r="S54" s="476"/>
      <c r="T54" s="476"/>
      <c r="U54" s="476"/>
      <c r="V54" s="476"/>
      <c r="W54" s="476"/>
      <c r="X54" s="476"/>
    </row>
    <row r="55" spans="2:24" ht="140" x14ac:dyDescent="0.25">
      <c r="B55" s="421" t="s">
        <v>825</v>
      </c>
      <c r="C55" s="422" t="s">
        <v>826</v>
      </c>
      <c r="D55" s="422" t="s">
        <v>827</v>
      </c>
      <c r="E55" s="423" t="s">
        <v>828</v>
      </c>
      <c r="F55" s="423" t="s">
        <v>829</v>
      </c>
      <c r="G55" s="423" t="s">
        <v>830</v>
      </c>
      <c r="H55" s="423" t="s">
        <v>831</v>
      </c>
      <c r="I55" s="423" t="s">
        <v>832</v>
      </c>
      <c r="J55" s="423" t="s">
        <v>833</v>
      </c>
      <c r="K55" s="424" t="s">
        <v>834</v>
      </c>
      <c r="L55" s="602"/>
      <c r="Q55" s="1342"/>
      <c r="R55" s="1835" t="s">
        <v>852</v>
      </c>
      <c r="S55" s="1835"/>
      <c r="T55" s="1342" t="s">
        <v>853</v>
      </c>
      <c r="U55" s="1342" t="s">
        <v>854</v>
      </c>
      <c r="V55" s="1343" t="s">
        <v>855</v>
      </c>
      <c r="W55" s="1343" t="s">
        <v>856</v>
      </c>
      <c r="X55" s="1342"/>
    </row>
    <row r="56" spans="2:24" ht="40" x14ac:dyDescent="0.25">
      <c r="B56" s="425" t="s">
        <v>835</v>
      </c>
      <c r="C56" s="425" t="s">
        <v>836</v>
      </c>
      <c r="D56" s="526" t="str">
        <f>'FE Assumptions'!$B$32</f>
        <v>The Toy Maven - Preston Hollow</v>
      </c>
      <c r="E56" s="426">
        <f>'FE Assumptions'!G32*'Logistics of Transportation'!$D$54</f>
        <v>0</v>
      </c>
      <c r="F56" s="529">
        <f t="shared" ref="F56:F65" si="18">E56*$D$54</f>
        <v>0</v>
      </c>
      <c r="G56" s="427">
        <v>1</v>
      </c>
      <c r="H56" s="545">
        <f>(F56/G56)/2</f>
        <v>0</v>
      </c>
      <c r="I56" s="546">
        <v>0</v>
      </c>
      <c r="J56" s="547">
        <f>I56*H56</f>
        <v>0</v>
      </c>
      <c r="K56" s="428">
        <f>J56*2</f>
        <v>0</v>
      </c>
      <c r="L56" s="603"/>
      <c r="Q56" s="1838" t="s">
        <v>857</v>
      </c>
      <c r="R56" s="1344" t="s">
        <v>858</v>
      </c>
      <c r="S56" s="1344" t="s">
        <v>859</v>
      </c>
      <c r="T56" s="1344" t="s">
        <v>860</v>
      </c>
      <c r="U56" s="1344"/>
      <c r="V56" s="1344"/>
      <c r="W56" s="1344" t="s">
        <v>861</v>
      </c>
      <c r="X56" s="1344" t="s">
        <v>862</v>
      </c>
    </row>
    <row r="57" spans="2:24" ht="78.5" customHeight="1" x14ac:dyDescent="0.25">
      <c r="B57" s="425" t="s">
        <v>835</v>
      </c>
      <c r="C57" s="425" t="s">
        <v>836</v>
      </c>
      <c r="D57" s="526" t="str">
        <f>'FE Assumptions'!$B$33</f>
        <v>Kip's Toyland</v>
      </c>
      <c r="E57" s="426">
        <f>'FE Assumptions'!G33*'Logistics of Transportation'!$D$54</f>
        <v>0</v>
      </c>
      <c r="F57" s="529">
        <f t="shared" si="18"/>
        <v>0</v>
      </c>
      <c r="G57" s="427">
        <v>1</v>
      </c>
      <c r="H57" s="545">
        <f t="shared" ref="H57:H58" si="19">(F57/G57)/2</f>
        <v>0</v>
      </c>
      <c r="I57" s="546">
        <v>0</v>
      </c>
      <c r="J57" s="547">
        <f t="shared" ref="J57:J58" si="20">I57*H57</f>
        <v>0</v>
      </c>
      <c r="K57" s="428">
        <f t="shared" ref="K57:K58" si="21">J57*2</f>
        <v>0</v>
      </c>
      <c r="L57" s="603"/>
      <c r="Q57" s="1839"/>
      <c r="R57" s="1344" t="s">
        <v>74</v>
      </c>
      <c r="S57" s="1344" t="s">
        <v>863</v>
      </c>
      <c r="T57" s="1344" t="s">
        <v>864</v>
      </c>
      <c r="U57" s="1344"/>
      <c r="V57" s="1344"/>
      <c r="W57" s="1344" t="s">
        <v>865</v>
      </c>
      <c r="X57" s="1344" t="s">
        <v>866</v>
      </c>
    </row>
    <row r="58" spans="2:24" ht="41" thickBot="1" x14ac:dyDescent="0.3">
      <c r="B58" s="425" t="s">
        <v>835</v>
      </c>
      <c r="C58" s="425" t="s">
        <v>836</v>
      </c>
      <c r="D58" s="526" t="str">
        <f>'FE Assumptions'!$B$34</f>
        <v>Toy's That Teach</v>
      </c>
      <c r="E58" s="426">
        <f>'FE Assumptions'!G34*'Logistics of Transportation'!$D$54</f>
        <v>0</v>
      </c>
      <c r="F58" s="529">
        <f t="shared" si="18"/>
        <v>0</v>
      </c>
      <c r="G58" s="427">
        <v>1</v>
      </c>
      <c r="H58" s="545">
        <f t="shared" si="19"/>
        <v>0</v>
      </c>
      <c r="I58" s="546"/>
      <c r="J58" s="547">
        <f t="shared" si="20"/>
        <v>0</v>
      </c>
      <c r="K58" s="428">
        <f t="shared" si="21"/>
        <v>0</v>
      </c>
      <c r="L58" s="603"/>
      <c r="Q58" s="1840"/>
      <c r="R58" s="1344" t="s">
        <v>75</v>
      </c>
      <c r="S58" s="1344" t="s">
        <v>867</v>
      </c>
      <c r="T58" s="1344" t="s">
        <v>868</v>
      </c>
      <c r="U58" s="1344"/>
      <c r="V58" s="1344"/>
      <c r="W58" s="1345"/>
      <c r="X58" s="1344"/>
    </row>
    <row r="59" spans="2:24" ht="41" thickBot="1" x14ac:dyDescent="0.3">
      <c r="B59" s="425" t="s">
        <v>841</v>
      </c>
      <c r="C59" s="425" t="s">
        <v>842</v>
      </c>
      <c r="D59" s="526" t="s">
        <v>843</v>
      </c>
      <c r="E59" s="426">
        <f>'FE Assumptions'!G36/'Logistics of Transportation'!$D$54</f>
        <v>0.44444444444444442</v>
      </c>
      <c r="F59" s="529">
        <f t="shared" si="18"/>
        <v>54141.214794771062</v>
      </c>
      <c r="G59" s="554">
        <v>1</v>
      </c>
      <c r="H59" s="549">
        <f>(F59/G59)/4</f>
        <v>13535.303698692765</v>
      </c>
      <c r="I59" s="546">
        <f>J59/H59</f>
        <v>0.36235167744878</v>
      </c>
      <c r="J59" s="553">
        <f>4904.54</f>
        <v>4904.54</v>
      </c>
      <c r="K59" s="428">
        <f>J59*4</f>
        <v>19618.16</v>
      </c>
      <c r="L59" s="603">
        <f t="shared" ref="L59:L65" si="22">I59*F59</f>
        <v>19618.16</v>
      </c>
      <c r="M59" s="600"/>
      <c r="Q59" s="1841" t="s">
        <v>869</v>
      </c>
      <c r="R59" s="1346" t="s">
        <v>78</v>
      </c>
      <c r="S59" s="1347" t="s">
        <v>870</v>
      </c>
      <c r="T59" s="1346" t="s">
        <v>871</v>
      </c>
      <c r="U59" s="1346" t="s">
        <v>872</v>
      </c>
      <c r="V59" s="1346"/>
      <c r="W59" s="1346"/>
      <c r="X59" s="1346"/>
    </row>
    <row r="60" spans="2:24" ht="67" customHeight="1" thickBot="1" x14ac:dyDescent="0.3">
      <c r="B60" s="554" t="s">
        <v>844</v>
      </c>
      <c r="C60" s="554" t="s">
        <v>845</v>
      </c>
      <c r="D60" s="570" t="str">
        <f>'FE Assumptions'!$B$37</f>
        <v>Learning Express</v>
      </c>
      <c r="E60" s="571">
        <f>'FE Assumptions'!G37/'Logistics of Transportation'!$D$54</f>
        <v>0.1111111111111111</v>
      </c>
      <c r="F60" s="572">
        <f t="shared" si="18"/>
        <v>13535.303698692765</v>
      </c>
      <c r="G60" s="554">
        <v>4</v>
      </c>
      <c r="H60" s="545">
        <f>(F60/G60)/4</f>
        <v>845.95648116829784</v>
      </c>
      <c r="I60" s="546">
        <f>0.1*'OM Assumptions'!$F$73</f>
        <v>2.012383882033145</v>
      </c>
      <c r="J60" s="1259">
        <f>I60*H60*G60</f>
        <v>6809.5567504182336</v>
      </c>
      <c r="K60" s="428">
        <f>J60*4</f>
        <v>27238.227001672934</v>
      </c>
      <c r="L60" s="606">
        <f t="shared" si="22"/>
        <v>27238.227001672934</v>
      </c>
      <c r="M60" s="600"/>
      <c r="Q60" s="1842"/>
      <c r="R60" s="1346" t="s">
        <v>873</v>
      </c>
      <c r="S60" s="1347" t="s">
        <v>874</v>
      </c>
      <c r="T60" s="1346" t="s">
        <v>875</v>
      </c>
      <c r="U60" s="1346" t="s">
        <v>876</v>
      </c>
      <c r="V60" s="1346"/>
      <c r="W60" s="1346"/>
      <c r="X60" s="1346"/>
    </row>
    <row r="61" spans="2:24" ht="53" thickBot="1" x14ac:dyDescent="0.3">
      <c r="B61" s="427" t="s">
        <v>844</v>
      </c>
      <c r="C61" s="427" t="s">
        <v>845</v>
      </c>
      <c r="D61" s="527" t="str">
        <f>'FE Assumptions'!$B$38</f>
        <v>Hobby Town</v>
      </c>
      <c r="E61" s="426">
        <f>'FE Assumptions'!G38/'Logistics of Transportation'!$D$54</f>
        <v>8.8888888888888892E-2</v>
      </c>
      <c r="F61" s="529">
        <f>E61*$D$54</f>
        <v>10828.242958954213</v>
      </c>
      <c r="G61" s="427">
        <v>2</v>
      </c>
      <c r="H61" s="545">
        <f>(F61/G61)/4</f>
        <v>1353.5303698692767</v>
      </c>
      <c r="I61" s="546">
        <f>0.1*'OM Assumptions'!$F$73</f>
        <v>2.012383882033145</v>
      </c>
      <c r="J61" s="553">
        <f t="shared" ref="J61:J65" si="23">I61*H61*G61</f>
        <v>5447.6454003345871</v>
      </c>
      <c r="K61" s="428">
        <f>J61*4</f>
        <v>21790.581601338348</v>
      </c>
      <c r="L61" s="603">
        <f t="shared" si="22"/>
        <v>21790.581601338348</v>
      </c>
      <c r="M61" s="600"/>
      <c r="Q61" s="1842"/>
      <c r="R61" s="1346" t="s">
        <v>877</v>
      </c>
      <c r="S61" s="1347" t="s">
        <v>878</v>
      </c>
      <c r="T61" s="1346" t="s">
        <v>879</v>
      </c>
      <c r="U61" s="1346"/>
      <c r="V61" s="1346"/>
      <c r="W61" s="1346"/>
      <c r="X61" s="1346"/>
    </row>
    <row r="62" spans="2:24" ht="53" thickBot="1" x14ac:dyDescent="0.3">
      <c r="B62" s="427" t="s">
        <v>844</v>
      </c>
      <c r="C62" s="427" t="s">
        <v>845</v>
      </c>
      <c r="D62" s="527" t="str">
        <f>'FE Assumptions'!$B$39</f>
        <v>FAO Schwarz</v>
      </c>
      <c r="E62" s="426">
        <f>'FE Assumptions'!G39/'Logistics of Transportation'!$D$54</f>
        <v>2.2222222222222223E-2</v>
      </c>
      <c r="F62" s="529">
        <f t="shared" si="18"/>
        <v>2707.0607397385534</v>
      </c>
      <c r="G62" s="427">
        <v>1</v>
      </c>
      <c r="H62" s="549">
        <f t="shared" ref="H62" si="24">(F62/G62)/4</f>
        <v>676.76518493463834</v>
      </c>
      <c r="I62" s="546">
        <f>0.1*'OM Assumptions'!$F$73</f>
        <v>2.012383882033145</v>
      </c>
      <c r="J62" s="553">
        <f t="shared" si="23"/>
        <v>1361.9113500836468</v>
      </c>
      <c r="K62" s="428">
        <f t="shared" ref="K62" si="25">J62*4</f>
        <v>5447.6454003345871</v>
      </c>
      <c r="L62" s="603">
        <f t="shared" si="22"/>
        <v>5447.6454003345871</v>
      </c>
      <c r="M62" s="600"/>
      <c r="Q62" s="1843"/>
      <c r="R62" s="1346" t="s">
        <v>880</v>
      </c>
      <c r="S62" s="1347" t="s">
        <v>881</v>
      </c>
      <c r="T62" s="1346" t="s">
        <v>882</v>
      </c>
      <c r="U62" s="1346" t="s">
        <v>883</v>
      </c>
      <c r="V62" s="1346"/>
      <c r="W62" s="1346"/>
      <c r="X62" s="1346"/>
    </row>
    <row r="63" spans="2:24" ht="21" thickBot="1" x14ac:dyDescent="0.3">
      <c r="B63" s="429" t="s">
        <v>846</v>
      </c>
      <c r="C63" s="429" t="s">
        <v>847</v>
      </c>
      <c r="D63" s="430" t="str">
        <f>'FE Assumptions'!$B$41</f>
        <v>Walmart</v>
      </c>
      <c r="E63" s="426">
        <f>'FE Assumptions'!G41/'Logistics of Transportation'!$D$54</f>
        <v>0</v>
      </c>
      <c r="F63" s="529">
        <f t="shared" si="18"/>
        <v>0</v>
      </c>
      <c r="G63" s="551">
        <v>4</v>
      </c>
      <c r="H63" s="550">
        <f>(F63/G63)/4</f>
        <v>0</v>
      </c>
      <c r="I63" s="546">
        <v>0</v>
      </c>
      <c r="J63" s="553">
        <f t="shared" si="23"/>
        <v>0</v>
      </c>
      <c r="K63" s="431">
        <f>J63*4</f>
        <v>0</v>
      </c>
      <c r="L63" s="603">
        <f t="shared" si="22"/>
        <v>0</v>
      </c>
      <c r="M63" s="600"/>
    </row>
    <row r="64" spans="2:24" ht="21" thickBot="1" x14ac:dyDescent="0.3">
      <c r="B64" s="429" t="s">
        <v>846</v>
      </c>
      <c r="C64" s="429" t="s">
        <v>847</v>
      </c>
      <c r="D64" s="430" t="str">
        <f>'FE Assumptions'!$B$42</f>
        <v>Target</v>
      </c>
      <c r="E64" s="426">
        <f>'FE Assumptions'!G42/'Logistics of Transportation'!$D$54</f>
        <v>0.33333333333333331</v>
      </c>
      <c r="F64" s="529">
        <f t="shared" si="18"/>
        <v>40605.9110960783</v>
      </c>
      <c r="G64" s="551">
        <v>4</v>
      </c>
      <c r="H64" s="550">
        <f>(F64/G64)/4</f>
        <v>2537.8694435048938</v>
      </c>
      <c r="I64" s="546">
        <v>0.53</v>
      </c>
      <c r="J64" s="553">
        <f t="shared" si="23"/>
        <v>5380.2832202303753</v>
      </c>
      <c r="K64" s="431">
        <f>J64*4</f>
        <v>21521.132880921501</v>
      </c>
      <c r="L64" s="603">
        <f t="shared" si="22"/>
        <v>21521.132880921501</v>
      </c>
      <c r="M64" s="600"/>
    </row>
    <row r="65" spans="2:14" ht="20" x14ac:dyDescent="0.25">
      <c r="B65" s="429" t="s">
        <v>846</v>
      </c>
      <c r="C65" s="429" t="s">
        <v>847</v>
      </c>
      <c r="D65" s="430" t="str">
        <f>'FE Assumptions'!$B$43</f>
        <v>Kohl's</v>
      </c>
      <c r="E65" s="426">
        <f>'FE Assumptions'!G43/'Logistics of Transportation'!$D$54</f>
        <v>0</v>
      </c>
      <c r="F65" s="529">
        <f t="shared" si="18"/>
        <v>0</v>
      </c>
      <c r="G65" s="551">
        <v>4</v>
      </c>
      <c r="H65" s="550">
        <f>(F65/G65)/4</f>
        <v>0</v>
      </c>
      <c r="I65" s="546">
        <v>0</v>
      </c>
      <c r="J65" s="553">
        <f t="shared" si="23"/>
        <v>0</v>
      </c>
      <c r="K65" s="431">
        <f>J65*4</f>
        <v>0</v>
      </c>
      <c r="L65" s="603">
        <f t="shared" si="22"/>
        <v>0</v>
      </c>
      <c r="M65" s="600"/>
    </row>
    <row r="66" spans="2:14" ht="20" thickBot="1" x14ac:dyDescent="0.3">
      <c r="B66" s="432"/>
      <c r="C66" s="432"/>
      <c r="D66" s="432"/>
      <c r="E66" s="474"/>
      <c r="F66" s="528">
        <f>SUM(F56:F65)</f>
        <v>121817.73328823489</v>
      </c>
      <c r="G66" s="432"/>
      <c r="H66" s="432"/>
      <c r="I66" s="433"/>
      <c r="J66" s="433"/>
      <c r="K66" s="433"/>
      <c r="L66" s="433"/>
    </row>
    <row r="67" spans="2:14" ht="20" x14ac:dyDescent="0.25">
      <c r="B67" s="432"/>
      <c r="C67" s="432"/>
      <c r="D67" s="432"/>
      <c r="E67" s="432"/>
      <c r="F67" s="432"/>
      <c r="G67" s="432"/>
      <c r="H67" s="432"/>
      <c r="I67" s="434" t="s">
        <v>848</v>
      </c>
      <c r="J67" s="435">
        <f>SUM(J57:J66)</f>
        <v>23903.936721066842</v>
      </c>
      <c r="K67" s="435">
        <f>SUM(K57:K66)</f>
        <v>95615.74688426737</v>
      </c>
      <c r="L67" s="605"/>
    </row>
    <row r="68" spans="2:14" ht="19" x14ac:dyDescent="0.25">
      <c r="B68" s="433"/>
      <c r="C68" s="433"/>
      <c r="D68" s="433"/>
      <c r="E68" s="433"/>
      <c r="F68" s="433"/>
      <c r="G68" s="433"/>
      <c r="H68" s="433"/>
      <c r="I68" s="524"/>
      <c r="J68" s="525"/>
      <c r="K68" s="525"/>
      <c r="L68" s="525"/>
    </row>
    <row r="69" spans="2:14" ht="19" x14ac:dyDescent="0.25">
      <c r="B69" s="433"/>
      <c r="C69" s="433"/>
      <c r="D69" s="433"/>
      <c r="E69" s="433"/>
      <c r="F69" s="433"/>
      <c r="G69" s="433"/>
      <c r="H69" s="433"/>
      <c r="I69" s="524"/>
      <c r="J69" s="525"/>
      <c r="K69" s="525"/>
      <c r="L69" s="525"/>
    </row>
    <row r="70" spans="2:14" ht="21" x14ac:dyDescent="0.25">
      <c r="B70" s="1833" t="s">
        <v>884</v>
      </c>
      <c r="C70" s="1834"/>
      <c r="D70" s="581">
        <f>'FE Assumptions'!H45</f>
        <v>169529</v>
      </c>
      <c r="E70" s="592"/>
      <c r="F70" s="592"/>
      <c r="G70" s="592"/>
      <c r="H70" s="592"/>
      <c r="I70" s="592"/>
      <c r="J70" s="592"/>
      <c r="K70" s="592"/>
      <c r="L70" s="601"/>
    </row>
    <row r="71" spans="2:14" ht="142.5" customHeight="1" x14ac:dyDescent="0.25">
      <c r="B71" s="582" t="s">
        <v>825</v>
      </c>
      <c r="C71" s="422" t="s">
        <v>826</v>
      </c>
      <c r="D71" s="422" t="s">
        <v>827</v>
      </c>
      <c r="E71" s="423" t="s">
        <v>828</v>
      </c>
      <c r="F71" s="423" t="s">
        <v>829</v>
      </c>
      <c r="G71" s="423" t="s">
        <v>830</v>
      </c>
      <c r="H71" s="423" t="s">
        <v>831</v>
      </c>
      <c r="I71" s="423" t="s">
        <v>832</v>
      </c>
      <c r="J71" s="423" t="s">
        <v>833</v>
      </c>
      <c r="K71" s="424" t="s">
        <v>834</v>
      </c>
      <c r="L71" s="602"/>
    </row>
    <row r="72" spans="2:14" ht="48" customHeight="1" x14ac:dyDescent="0.25">
      <c r="B72" s="583" t="s">
        <v>835</v>
      </c>
      <c r="C72" s="425" t="s">
        <v>836</v>
      </c>
      <c r="D72" s="526" t="str">
        <f>'FE Assumptions'!$B$32</f>
        <v>The Toy Maven - Preston Hollow</v>
      </c>
      <c r="E72" s="426">
        <f>'FE Assumptions'!H32/'Logistics of Transportation'!$D$70</f>
        <v>0</v>
      </c>
      <c r="F72" s="529">
        <f t="shared" ref="F72:F81" si="26">E72*$D$70</f>
        <v>0</v>
      </c>
      <c r="G72" s="427">
        <v>1</v>
      </c>
      <c r="H72" s="545">
        <f>(F72/G72)/2</f>
        <v>0</v>
      </c>
      <c r="I72" s="546">
        <v>0</v>
      </c>
      <c r="J72" s="547">
        <f>I72*H72</f>
        <v>0</v>
      </c>
      <c r="K72" s="428">
        <f>J72*2</f>
        <v>0</v>
      </c>
      <c r="L72" s="603"/>
    </row>
    <row r="73" spans="2:14" ht="48" customHeight="1" x14ac:dyDescent="0.25">
      <c r="B73" s="583" t="s">
        <v>835</v>
      </c>
      <c r="C73" s="425" t="s">
        <v>836</v>
      </c>
      <c r="D73" s="526" t="str">
        <f>'FE Assumptions'!$B$33</f>
        <v>Kip's Toyland</v>
      </c>
      <c r="E73" s="426">
        <f>'FE Assumptions'!H33/'Logistics of Transportation'!$D$70</f>
        <v>0</v>
      </c>
      <c r="F73" s="529">
        <f t="shared" si="26"/>
        <v>0</v>
      </c>
      <c r="G73" s="427">
        <v>1</v>
      </c>
      <c r="H73" s="545">
        <f t="shared" ref="H73:H74" si="27">(F73/G73)/2</f>
        <v>0</v>
      </c>
      <c r="I73" s="546">
        <v>0</v>
      </c>
      <c r="J73" s="547">
        <f t="shared" ref="J73:J74" si="28">I73*H73</f>
        <v>0</v>
      </c>
      <c r="K73" s="428">
        <f t="shared" ref="K73:K74" si="29">J73*2</f>
        <v>0</v>
      </c>
      <c r="L73" s="603"/>
    </row>
    <row r="74" spans="2:14" ht="48" customHeight="1" x14ac:dyDescent="0.25">
      <c r="B74" s="583" t="s">
        <v>835</v>
      </c>
      <c r="C74" s="425" t="s">
        <v>836</v>
      </c>
      <c r="D74" s="526" t="str">
        <f>'FE Assumptions'!$B$34</f>
        <v>Toy's That Teach</v>
      </c>
      <c r="E74" s="426">
        <f>'FE Assumptions'!H34/'Logistics of Transportation'!$D$70</f>
        <v>0</v>
      </c>
      <c r="F74" s="529">
        <f t="shared" si="26"/>
        <v>0</v>
      </c>
      <c r="G74" s="427">
        <v>1</v>
      </c>
      <c r="H74" s="545">
        <f t="shared" si="27"/>
        <v>0</v>
      </c>
      <c r="I74" s="546">
        <v>0</v>
      </c>
      <c r="J74" s="547">
        <f t="shared" si="28"/>
        <v>0</v>
      </c>
      <c r="K74" s="428">
        <f t="shared" si="29"/>
        <v>0</v>
      </c>
      <c r="L74" s="603"/>
    </row>
    <row r="75" spans="2:14" ht="48" customHeight="1" x14ac:dyDescent="0.25">
      <c r="B75" s="583" t="s">
        <v>841</v>
      </c>
      <c r="C75" s="425" t="s">
        <v>842</v>
      </c>
      <c r="D75" s="526" t="s">
        <v>843</v>
      </c>
      <c r="E75" s="426">
        <f>'FE Assumptions'!H36/'Logistics of Transportation'!$D$70</f>
        <v>0.36363636363636359</v>
      </c>
      <c r="F75" s="529">
        <f>E75*$D$70</f>
        <v>61646.909090909081</v>
      </c>
      <c r="G75" s="554">
        <v>1</v>
      </c>
      <c r="H75" s="549">
        <f>(F75/G75)/4</f>
        <v>15411.72727272727</v>
      </c>
      <c r="I75" s="546">
        <v>0.37</v>
      </c>
      <c r="J75" s="553">
        <f>I75*H75</f>
        <v>5702.3390909090904</v>
      </c>
      <c r="K75" s="428">
        <f>J75*4</f>
        <v>22809.356363636361</v>
      </c>
      <c r="L75" s="603">
        <f t="shared" ref="L75:L81" si="30">I75*F75</f>
        <v>22809.356363636361</v>
      </c>
      <c r="M75" s="600"/>
    </row>
    <row r="76" spans="2:14" ht="27" customHeight="1" thickBot="1" x14ac:dyDescent="0.3">
      <c r="B76" s="584" t="s">
        <v>844</v>
      </c>
      <c r="C76" s="554" t="s">
        <v>845</v>
      </c>
      <c r="D76" s="570" t="str">
        <f>'FE Assumptions'!$B$37</f>
        <v>Learning Express</v>
      </c>
      <c r="E76" s="571">
        <f>'FE Assumptions'!H37/'Logistics of Transportation'!$D$70</f>
        <v>0.10606060606060605</v>
      </c>
      <c r="F76" s="529">
        <f>E76*$D$70</f>
        <v>17980.348484848484</v>
      </c>
      <c r="G76" s="554">
        <v>4</v>
      </c>
      <c r="H76" s="549">
        <f>(F76/G76)/4</f>
        <v>1123.7717803030303</v>
      </c>
      <c r="I76" s="546">
        <f>0.1*'OM Assumptions'!$G$73</f>
        <v>1.9711400269214374</v>
      </c>
      <c r="J76" s="553">
        <f>I76*H76*G76</f>
        <v>8860.4461491202674</v>
      </c>
      <c r="K76" s="428">
        <f>J76*4</f>
        <v>35441.784596481069</v>
      </c>
      <c r="L76" s="603">
        <f t="shared" si="30"/>
        <v>35441.784596481069</v>
      </c>
      <c r="M76" s="600"/>
      <c r="N76" s="600"/>
    </row>
    <row r="77" spans="2:14" ht="27" customHeight="1" thickBot="1" x14ac:dyDescent="0.3">
      <c r="B77" s="585" t="s">
        <v>844</v>
      </c>
      <c r="C77" s="427" t="s">
        <v>845</v>
      </c>
      <c r="D77" s="527" t="str">
        <f>'FE Assumptions'!$B$38</f>
        <v>Hobby Town</v>
      </c>
      <c r="E77" s="426">
        <f>'FE Assumptions'!H38/'Logistics of Transportation'!$D$70</f>
        <v>8.4848484848484854E-2</v>
      </c>
      <c r="F77" s="529">
        <f t="shared" si="26"/>
        <v>14384.278787878789</v>
      </c>
      <c r="G77" s="427">
        <v>2</v>
      </c>
      <c r="H77" s="545">
        <f>(F77/G77)/4</f>
        <v>1798.0348484848487</v>
      </c>
      <c r="I77" s="546">
        <f>0.1*'OM Assumptions'!$G$73</f>
        <v>1.9711400269214374</v>
      </c>
      <c r="J77" s="553">
        <f t="shared" ref="J77:J81" si="31">I77*H77*G77</f>
        <v>7088.356919296215</v>
      </c>
      <c r="K77" s="428">
        <f t="shared" ref="K77:K78" si="32">J77*4</f>
        <v>28353.42767718486</v>
      </c>
      <c r="L77" s="603">
        <f t="shared" si="30"/>
        <v>28353.42767718486</v>
      </c>
      <c r="M77" s="600"/>
    </row>
    <row r="78" spans="2:14" ht="27" customHeight="1" thickBot="1" x14ac:dyDescent="0.3">
      <c r="B78" s="585" t="s">
        <v>844</v>
      </c>
      <c r="C78" s="427" t="s">
        <v>845</v>
      </c>
      <c r="D78" s="527" t="str">
        <f>'FE Assumptions'!$B$39</f>
        <v>FAO Schwarz</v>
      </c>
      <c r="E78" s="426">
        <f>'FE Assumptions'!H39/'Logistics of Transportation'!$D$70</f>
        <v>2.1212121212121213E-2</v>
      </c>
      <c r="F78" s="529">
        <f t="shared" si="26"/>
        <v>3596.0696969696974</v>
      </c>
      <c r="G78" s="427">
        <v>1</v>
      </c>
      <c r="H78" s="545">
        <f t="shared" ref="H78" si="33">(F78/G78)/4</f>
        <v>899.01742424242434</v>
      </c>
      <c r="I78" s="546">
        <f>0.1*'OM Assumptions'!$G$73</f>
        <v>1.9711400269214374</v>
      </c>
      <c r="J78" s="553">
        <f t="shared" si="31"/>
        <v>1772.0892298240537</v>
      </c>
      <c r="K78" s="577">
        <f t="shared" si="32"/>
        <v>7088.356919296215</v>
      </c>
      <c r="L78" s="603">
        <f t="shared" si="30"/>
        <v>7088.356919296215</v>
      </c>
      <c r="M78" s="600"/>
    </row>
    <row r="79" spans="2:14" ht="27" customHeight="1" thickBot="1" x14ac:dyDescent="0.3">
      <c r="B79" s="586" t="s">
        <v>846</v>
      </c>
      <c r="C79" s="429" t="s">
        <v>847</v>
      </c>
      <c r="D79" s="430" t="str">
        <f>'FE Assumptions'!$B$41</f>
        <v>Walmart</v>
      </c>
      <c r="E79" s="426">
        <f>'FE Assumptions'!H41/'Logistics of Transportation'!$D$70</f>
        <v>0.2121212121212121</v>
      </c>
      <c r="F79" s="529">
        <f t="shared" si="26"/>
        <v>35960.696969696968</v>
      </c>
      <c r="G79" s="551">
        <v>4</v>
      </c>
      <c r="H79" s="550">
        <f>(F79/G79)/4</f>
        <v>2247.5435606060605</v>
      </c>
      <c r="I79" s="546">
        <f>0.1*'OM Assumptions'!$G$73</f>
        <v>1.9711400269214374</v>
      </c>
      <c r="J79" s="553">
        <f t="shared" si="31"/>
        <v>17720.892298240535</v>
      </c>
      <c r="K79" s="431">
        <f>J79*4</f>
        <v>70883.569192962139</v>
      </c>
      <c r="L79" s="603">
        <f t="shared" si="30"/>
        <v>70883.569192962139</v>
      </c>
      <c r="M79" s="600"/>
    </row>
    <row r="80" spans="2:14" ht="27" customHeight="1" thickBot="1" x14ac:dyDescent="0.3">
      <c r="B80" s="586" t="s">
        <v>846</v>
      </c>
      <c r="C80" s="429" t="s">
        <v>847</v>
      </c>
      <c r="D80" s="430" t="str">
        <f>'FE Assumptions'!$B$42</f>
        <v>Target</v>
      </c>
      <c r="E80" s="426">
        <f>'FE Assumptions'!H42/'Logistics of Transportation'!$D$70</f>
        <v>0.16969696969696971</v>
      </c>
      <c r="F80" s="529">
        <f t="shared" si="26"/>
        <v>28768.557575757579</v>
      </c>
      <c r="G80" s="551">
        <v>4</v>
      </c>
      <c r="H80" s="550">
        <f>(F80/G80)/4</f>
        <v>1798.0348484848487</v>
      </c>
      <c r="I80" s="546">
        <v>0.53</v>
      </c>
      <c r="J80" s="553">
        <f t="shared" si="31"/>
        <v>3811.8338787878793</v>
      </c>
      <c r="K80" s="431">
        <f>J80*4</f>
        <v>15247.335515151517</v>
      </c>
      <c r="L80" s="603">
        <f t="shared" si="30"/>
        <v>15247.335515151517</v>
      </c>
      <c r="M80" s="600"/>
    </row>
    <row r="81" spans="2:13" ht="27" customHeight="1" thickBot="1" x14ac:dyDescent="0.3">
      <c r="B81" s="586" t="s">
        <v>846</v>
      </c>
      <c r="C81" s="429" t="s">
        <v>847</v>
      </c>
      <c r="D81" s="430" t="str">
        <f>'FE Assumptions'!$B$43</f>
        <v>Kohl's</v>
      </c>
      <c r="E81" s="426">
        <f>'FE Assumptions'!H43/'Logistics of Transportation'!$D$70</f>
        <v>4.2424242424242427E-2</v>
      </c>
      <c r="F81" s="529">
        <f t="shared" si="26"/>
        <v>7192.1393939393947</v>
      </c>
      <c r="G81" s="551">
        <v>4</v>
      </c>
      <c r="H81" s="550">
        <f>(F81/G81)/4</f>
        <v>449.50871212121217</v>
      </c>
      <c r="I81" s="546">
        <v>1.29</v>
      </c>
      <c r="J81" s="553">
        <f t="shared" si="31"/>
        <v>2319.4649545454549</v>
      </c>
      <c r="K81" s="431">
        <f>J81*4</f>
        <v>9277.8598181818197</v>
      </c>
      <c r="L81" s="603">
        <f t="shared" si="30"/>
        <v>9277.8598181818197</v>
      </c>
      <c r="M81" s="600"/>
    </row>
    <row r="82" spans="2:13" ht="20" thickBot="1" x14ac:dyDescent="0.3">
      <c r="B82" s="587"/>
      <c r="C82" s="432"/>
      <c r="D82" s="432"/>
      <c r="E82" s="474"/>
      <c r="F82" s="593"/>
      <c r="G82" s="432"/>
      <c r="H82" s="432"/>
      <c r="I82" s="433"/>
      <c r="J82" s="433"/>
      <c r="K82" s="433"/>
      <c r="L82" s="433"/>
    </row>
    <row r="83" spans="2:13" ht="21" thickBot="1" x14ac:dyDescent="0.3">
      <c r="B83" s="588"/>
      <c r="C83" s="589"/>
      <c r="D83" s="589"/>
      <c r="E83" s="589"/>
      <c r="F83" s="528">
        <f>SUM(F73:F82)</f>
        <v>169529.00000000003</v>
      </c>
      <c r="G83" s="589"/>
      <c r="H83" s="589"/>
      <c r="I83" s="590" t="s">
        <v>848</v>
      </c>
      <c r="J83" s="591">
        <f>SUM(J73:J82)</f>
        <v>47275.422520723499</v>
      </c>
      <c r="K83" s="591">
        <f>SUM(K73:K82)</f>
        <v>189101.690082894</v>
      </c>
      <c r="L83" s="605"/>
    </row>
    <row r="86" spans="2:13" x14ac:dyDescent="0.2">
      <c r="H86" s="669"/>
    </row>
  </sheetData>
  <mergeCells count="9">
    <mergeCell ref="B3:N3"/>
    <mergeCell ref="B70:C70"/>
    <mergeCell ref="R55:S55"/>
    <mergeCell ref="B5:C5"/>
    <mergeCell ref="B22:C22"/>
    <mergeCell ref="B38:C38"/>
    <mergeCell ref="B54:C54"/>
    <mergeCell ref="Q56:Q58"/>
    <mergeCell ref="Q59:Q62"/>
  </mergeCells>
  <hyperlinks>
    <hyperlink ref="S59" r:id="rId1" xr:uid="{425E410C-A128-4034-9133-73BC99298541}"/>
    <hyperlink ref="V55" r:id="rId2" location="/free-quote/pickup" xr:uid="{CC19C00E-399E-4289-9CA4-E89CEAD86B8D}"/>
    <hyperlink ref="S60" r:id="rId3" xr:uid="{D24C6F82-4C8A-4766-B7DB-AC34F7B19643}"/>
    <hyperlink ref="S61" r:id="rId4" xr:uid="{510F679E-D06E-4715-9511-A1B81664AE49}"/>
    <hyperlink ref="S62" r:id="rId5" xr:uid="{63BC05B1-81AB-40A2-99F3-5D0A506747DB}"/>
    <hyperlink ref="W55" r:id="rId6" xr:uid="{222A13FE-21BF-46AE-8BEB-825E1CF89EDE}"/>
    <hyperlink ref="N9" r:id="rId7" location="/quote-summary" xr:uid="{8790D77C-DCEA-48F3-AFF9-2097BBDE2160}"/>
    <hyperlink ref="N26" r:id="rId8" location="/quote-summary" xr:uid="{E72F37F3-DD75-446C-8CDA-61D8DFD51103}"/>
    <hyperlink ref="M42" r:id="rId9" location="/quote-summary" xr:uid="{8CD07BC3-9F14-4390-BEC3-1E47214A4F67}"/>
    <hyperlink ref="B1" location="Index!A1" display="Back to Index" xr:uid="{722948CF-E610-4275-B4F9-5403C850BCF4}"/>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AECA0-8A18-F541-9D44-72C9ADC5FCB7}">
  <sheetPr>
    <tabColor rgb="FFFF0000"/>
  </sheetPr>
  <dimension ref="B1:N57"/>
  <sheetViews>
    <sheetView showGridLines="0" topLeftCell="B4" zoomScale="85" zoomScaleNormal="85" workbookViewId="0"/>
  </sheetViews>
  <sheetFormatPr baseColWidth="10" defaultColWidth="11" defaultRowHeight="16" x14ac:dyDescent="0.2"/>
  <cols>
    <col min="1" max="1" width="1.83203125" style="407" customWidth="1"/>
    <col min="2" max="2" width="35.33203125" style="407" customWidth="1"/>
    <col min="3" max="3" width="37" style="407" customWidth="1"/>
    <col min="4" max="4" width="15.33203125" style="407" customWidth="1"/>
    <col min="5" max="5" width="15.5" style="407" customWidth="1"/>
    <col min="6" max="6" width="11" style="407"/>
    <col min="7" max="7" width="5.5" style="407" customWidth="1"/>
    <col min="8" max="8" width="38.5" style="407" customWidth="1"/>
    <col min="9" max="9" width="18.5" style="407" customWidth="1"/>
    <col min="10" max="10" width="17.6640625" style="407" customWidth="1"/>
    <col min="11" max="11" width="16.5" style="407" customWidth="1"/>
    <col min="12" max="13" width="16.83203125" style="407" customWidth="1"/>
    <col min="14" max="14" width="18.5" style="407" customWidth="1"/>
    <col min="15" max="16384" width="11" style="407"/>
  </cols>
  <sheetData>
    <row r="1" spans="2:14" x14ac:dyDescent="0.2">
      <c r="B1" s="56" t="s">
        <v>37</v>
      </c>
    </row>
    <row r="3" spans="2:14" x14ac:dyDescent="0.2">
      <c r="B3" s="1844" t="s">
        <v>885</v>
      </c>
      <c r="C3" s="1844"/>
      <c r="D3" s="1844"/>
      <c r="E3" s="1844"/>
      <c r="F3" s="1844"/>
      <c r="G3" s="1844"/>
      <c r="H3" s="1844"/>
      <c r="I3" s="1844"/>
      <c r="J3" s="1844"/>
      <c r="K3" s="1844"/>
      <c r="L3" s="1844"/>
      <c r="M3" s="1844"/>
      <c r="N3" s="1844"/>
    </row>
    <row r="4" spans="2:14" ht="18" x14ac:dyDescent="0.2">
      <c r="B4" s="416" t="s">
        <v>886</v>
      </c>
    </row>
    <row r="5" spans="2:14" ht="18" x14ac:dyDescent="0.2">
      <c r="B5" s="416" t="s">
        <v>887</v>
      </c>
    </row>
    <row r="6" spans="2:14" ht="18" x14ac:dyDescent="0.2">
      <c r="B6" s="416" t="s">
        <v>888</v>
      </c>
    </row>
    <row r="7" spans="2:14" ht="18" x14ac:dyDescent="0.2">
      <c r="B7" s="416" t="s">
        <v>889</v>
      </c>
    </row>
    <row r="8" spans="2:14" ht="18" x14ac:dyDescent="0.2">
      <c r="B8" s="416" t="s">
        <v>890</v>
      </c>
    </row>
    <row r="9" spans="2:14" ht="18" x14ac:dyDescent="0.2">
      <c r="B9" s="416" t="s">
        <v>891</v>
      </c>
    </row>
    <row r="10" spans="2:14" ht="18" x14ac:dyDescent="0.2">
      <c r="B10" s="416" t="s">
        <v>892</v>
      </c>
    </row>
    <row r="11" spans="2:14" ht="19" x14ac:dyDescent="0.25">
      <c r="B11" s="416" t="s">
        <v>893</v>
      </c>
      <c r="C11" s="417"/>
      <c r="D11" s="417"/>
      <c r="E11" s="417"/>
      <c r="F11" s="417"/>
      <c r="G11" s="417"/>
      <c r="H11" s="417"/>
      <c r="I11" s="417"/>
      <c r="J11" s="417"/>
      <c r="K11" s="417"/>
      <c r="L11" s="417"/>
      <c r="M11" s="417"/>
    </row>
    <row r="12" spans="2:14" ht="18" x14ac:dyDescent="0.2">
      <c r="B12" s="416" t="s">
        <v>894</v>
      </c>
    </row>
    <row r="14" spans="2:14" x14ac:dyDescent="0.2">
      <c r="B14" s="1478" t="s">
        <v>25</v>
      </c>
      <c r="C14" s="1477"/>
      <c r="D14" s="1477"/>
      <c r="E14" s="1477"/>
      <c r="F14" s="1477"/>
      <c r="G14" s="1477"/>
      <c r="H14" s="1477"/>
      <c r="I14" s="1477"/>
      <c r="J14" s="1477"/>
      <c r="K14" s="1477"/>
      <c r="L14" s="1477"/>
      <c r="M14" s="1477"/>
      <c r="N14" s="1477"/>
    </row>
    <row r="15" spans="2:14" ht="17" thickBot="1" x14ac:dyDescent="0.25"/>
    <row r="16" spans="2:14" x14ac:dyDescent="0.2">
      <c r="B16" s="736" t="s">
        <v>895</v>
      </c>
      <c r="C16" s="737"/>
      <c r="D16" s="737" t="s">
        <v>896</v>
      </c>
      <c r="E16" s="744">
        <f>13609</f>
        <v>13609</v>
      </c>
      <c r="F16" s="738" t="s">
        <v>897</v>
      </c>
      <c r="H16" s="749" t="s">
        <v>898</v>
      </c>
      <c r="I16" s="737" t="s">
        <v>899</v>
      </c>
      <c r="J16" s="744">
        <f>13609</f>
        <v>13609</v>
      </c>
      <c r="K16" s="738" t="s">
        <v>897</v>
      </c>
    </row>
    <row r="17" spans="2:11" x14ac:dyDescent="0.2">
      <c r="B17" s="745"/>
      <c r="F17" s="740"/>
      <c r="H17" s="745"/>
      <c r="K17" s="740"/>
    </row>
    <row r="18" spans="2:11" x14ac:dyDescent="0.2">
      <c r="B18" s="745"/>
      <c r="D18" s="727" t="s">
        <v>900</v>
      </c>
      <c r="E18" s="727" t="s">
        <v>490</v>
      </c>
      <c r="F18" s="740"/>
      <c r="H18" s="745"/>
      <c r="I18" s="727" t="s">
        <v>900</v>
      </c>
      <c r="J18" s="727" t="s">
        <v>490</v>
      </c>
      <c r="K18" s="740"/>
    </row>
    <row r="19" spans="2:11" x14ac:dyDescent="0.2">
      <c r="B19" s="746" t="s">
        <v>901</v>
      </c>
      <c r="C19" s="407" t="s">
        <v>902</v>
      </c>
      <c r="D19" s="408">
        <f>0.05*2</f>
        <v>0.1</v>
      </c>
      <c r="E19" s="779">
        <f>D19*$E$16</f>
        <v>1360.9</v>
      </c>
      <c r="F19" s="740"/>
      <c r="H19" s="745" t="s">
        <v>903</v>
      </c>
      <c r="I19" s="968">
        <v>0.46</v>
      </c>
      <c r="J19" s="409">
        <f>I19*$J$16</f>
        <v>6260.14</v>
      </c>
      <c r="K19" s="740"/>
    </row>
    <row r="20" spans="2:11" ht="20" thickBot="1" x14ac:dyDescent="0.4">
      <c r="B20" s="745"/>
      <c r="C20" s="407" t="s">
        <v>904</v>
      </c>
      <c r="D20" s="408">
        <f>0.05*20</f>
        <v>1</v>
      </c>
      <c r="E20" s="779">
        <f t="shared" ref="E20:E24" si="0">D20*$E$16</f>
        <v>13609</v>
      </c>
      <c r="F20" s="740"/>
      <c r="H20" s="745" t="s">
        <v>905</v>
      </c>
      <c r="I20" s="410">
        <v>0.04</v>
      </c>
      <c r="J20" s="731">
        <f>I20*$J$16</f>
        <v>544.36</v>
      </c>
      <c r="K20" s="740"/>
    </row>
    <row r="21" spans="2:11" ht="17" thickBot="1" x14ac:dyDescent="0.25">
      <c r="B21" s="745"/>
      <c r="C21" s="407" t="s">
        <v>906</v>
      </c>
      <c r="D21" s="408">
        <v>5.0000000000000001E-3</v>
      </c>
      <c r="E21" s="779">
        <f>D21*$E$16</f>
        <v>68.045000000000002</v>
      </c>
      <c r="F21" s="740"/>
      <c r="H21" s="750" t="s">
        <v>160</v>
      </c>
      <c r="I21" s="751">
        <f>SUM(I19:I20)</f>
        <v>0.5</v>
      </c>
      <c r="J21" s="752">
        <f>SUM(J19:J20)</f>
        <v>6804.5</v>
      </c>
      <c r="K21" s="743"/>
    </row>
    <row r="22" spans="2:11" ht="17" thickBot="1" x14ac:dyDescent="0.25">
      <c r="B22" s="745"/>
      <c r="C22" s="407" t="s">
        <v>907</v>
      </c>
      <c r="D22" s="408">
        <v>0.08</v>
      </c>
      <c r="E22" s="779">
        <f t="shared" si="0"/>
        <v>1088.72</v>
      </c>
      <c r="F22" s="740"/>
    </row>
    <row r="23" spans="2:11" x14ac:dyDescent="0.2">
      <c r="B23" s="745"/>
      <c r="C23" s="407" t="s">
        <v>609</v>
      </c>
      <c r="D23" s="725">
        <v>3.9898299999999998E-3</v>
      </c>
      <c r="E23" s="779">
        <f>D23*$E$16</f>
        <v>54.297596469999995</v>
      </c>
      <c r="F23" s="740"/>
      <c r="H23" s="736"/>
      <c r="I23" s="737"/>
      <c r="J23" s="737"/>
      <c r="K23" s="738"/>
    </row>
    <row r="24" spans="2:11" x14ac:dyDescent="0.2">
      <c r="B24" s="745"/>
      <c r="C24" s="407" t="s">
        <v>908</v>
      </c>
      <c r="D24" s="968">
        <v>1E-3</v>
      </c>
      <c r="E24" s="969">
        <f t="shared" si="0"/>
        <v>13.609</v>
      </c>
      <c r="F24" s="740"/>
      <c r="H24" s="739"/>
      <c r="I24" s="970"/>
      <c r="J24" s="970"/>
      <c r="K24" s="971"/>
    </row>
    <row r="25" spans="2:11" x14ac:dyDescent="0.2">
      <c r="B25" s="745"/>
      <c r="C25" s="407" t="s">
        <v>909</v>
      </c>
      <c r="D25" s="968">
        <v>0.96</v>
      </c>
      <c r="E25" s="969">
        <f>D25*$E$16</f>
        <v>13064.64</v>
      </c>
      <c r="F25" s="740"/>
      <c r="H25" s="739"/>
      <c r="K25" s="971"/>
    </row>
    <row r="26" spans="2:11" x14ac:dyDescent="0.2">
      <c r="B26" s="745"/>
      <c r="C26" s="407" t="s">
        <v>910</v>
      </c>
      <c r="D26" s="968">
        <f>0.005*20</f>
        <v>0.1</v>
      </c>
      <c r="E26" s="969">
        <f>D26*$E$16</f>
        <v>1360.9</v>
      </c>
      <c r="F26" s="740"/>
      <c r="H26" s="739"/>
      <c r="K26" s="971"/>
    </row>
    <row r="27" spans="2:11" x14ac:dyDescent="0.2">
      <c r="B27" s="745"/>
      <c r="C27" s="407" t="s">
        <v>911</v>
      </c>
      <c r="D27" s="968">
        <f>'OM $ Raw Material '!F20</f>
        <v>8.6198805000000003E-2</v>
      </c>
      <c r="E27" s="969">
        <f>D27*$E$16</f>
        <v>1173.079537245</v>
      </c>
      <c r="F27" s="740"/>
      <c r="H27" s="739"/>
      <c r="K27" s="971"/>
    </row>
    <row r="28" spans="2:11" ht="19" x14ac:dyDescent="0.35">
      <c r="B28" s="745"/>
      <c r="C28" s="407" t="s">
        <v>912</v>
      </c>
      <c r="D28" s="410">
        <v>3.1199999999999999E-2</v>
      </c>
      <c r="E28" s="969">
        <f>D28*$E$16</f>
        <v>424.60079999999999</v>
      </c>
      <c r="F28" s="740"/>
      <c r="H28" s="739" t="s">
        <v>913</v>
      </c>
      <c r="K28" s="971"/>
    </row>
    <row r="29" spans="2:11" x14ac:dyDescent="0.2">
      <c r="B29" s="745"/>
      <c r="C29" s="726" t="s">
        <v>914</v>
      </c>
      <c r="D29" s="411">
        <f>SUM(D19:D28)</f>
        <v>2.3673886350000002</v>
      </c>
      <c r="E29" s="780">
        <f>SUM(E19:E28)</f>
        <v>32217.791933715002</v>
      </c>
      <c r="F29" s="740"/>
      <c r="H29" s="739"/>
      <c r="K29" s="971"/>
    </row>
    <row r="30" spans="2:11" x14ac:dyDescent="0.2">
      <c r="B30" s="745"/>
      <c r="E30" s="781"/>
      <c r="F30" s="740"/>
      <c r="H30" s="972" t="s">
        <v>915</v>
      </c>
      <c r="I30" s="408">
        <f>E43+(5*(E47+E50+E54))</f>
        <v>1869084.1889502862</v>
      </c>
      <c r="K30" s="971"/>
    </row>
    <row r="31" spans="2:11" x14ac:dyDescent="0.2">
      <c r="B31" s="745"/>
      <c r="D31" s="727" t="s">
        <v>900</v>
      </c>
      <c r="E31" s="782" t="s">
        <v>490</v>
      </c>
      <c r="F31" s="740"/>
      <c r="H31" s="972" t="s">
        <v>916</v>
      </c>
      <c r="I31" s="409">
        <f>D29+D49</f>
        <v>4.7673886349999997</v>
      </c>
      <c r="K31" s="971"/>
    </row>
    <row r="32" spans="2:11" ht="34" x14ac:dyDescent="0.2">
      <c r="B32" s="747" t="s">
        <v>917</v>
      </c>
      <c r="C32" s="729" t="s">
        <v>918</v>
      </c>
      <c r="D32" s="409">
        <f t="shared" ref="D32:D42" si="1">E32/$E$16</f>
        <v>3.3066353148651628</v>
      </c>
      <c r="E32" s="779">
        <v>45000</v>
      </c>
      <c r="F32" s="740"/>
      <c r="H32" s="972" t="s">
        <v>919</v>
      </c>
      <c r="I32" s="409">
        <f>I21</f>
        <v>0.5</v>
      </c>
      <c r="K32" s="971"/>
    </row>
    <row r="33" spans="2:14" ht="17" x14ac:dyDescent="0.2">
      <c r="B33" s="745"/>
      <c r="C33" s="730" t="s">
        <v>920</v>
      </c>
      <c r="D33" s="409">
        <f t="shared" si="1"/>
        <v>1.813138364317731</v>
      </c>
      <c r="E33" s="779">
        <v>24675</v>
      </c>
      <c r="F33" s="740"/>
      <c r="H33" s="972"/>
      <c r="K33" s="971"/>
    </row>
    <row r="34" spans="2:14" ht="35" thickBot="1" x14ac:dyDescent="0.25">
      <c r="B34" s="745"/>
      <c r="C34" s="730" t="s">
        <v>921</v>
      </c>
      <c r="D34" s="409">
        <f t="shared" si="1"/>
        <v>2.2044228084355941</v>
      </c>
      <c r="E34" s="779">
        <v>29999.99</v>
      </c>
      <c r="F34" s="740"/>
      <c r="H34" s="741" t="s">
        <v>922</v>
      </c>
      <c r="I34" s="1679">
        <f>I30/(I32-I31)</f>
        <v>-437992.4934936905</v>
      </c>
      <c r="K34" s="971"/>
    </row>
    <row r="35" spans="2:14" ht="35" thickBot="1" x14ac:dyDescent="0.25">
      <c r="B35" s="745"/>
      <c r="C35" s="730" t="s">
        <v>923</v>
      </c>
      <c r="D35" s="409">
        <f t="shared" si="1"/>
        <v>2.1305753545447867</v>
      </c>
      <c r="E35" s="779">
        <v>28995</v>
      </c>
      <c r="F35" s="740"/>
      <c r="H35" s="973"/>
      <c r="I35" s="974"/>
      <c r="J35" s="974"/>
      <c r="K35" s="975"/>
    </row>
    <row r="36" spans="2:14" ht="35" thickBot="1" x14ac:dyDescent="0.25">
      <c r="B36" s="745"/>
      <c r="C36" s="730" t="s">
        <v>924</v>
      </c>
      <c r="D36" s="409">
        <f t="shared" si="1"/>
        <v>0.63156734513924606</v>
      </c>
      <c r="E36" s="779">
        <v>8595</v>
      </c>
      <c r="F36" s="740"/>
    </row>
    <row r="37" spans="2:14" ht="17" x14ac:dyDescent="0.2">
      <c r="B37" s="745"/>
      <c r="C37" s="730" t="s">
        <v>925</v>
      </c>
      <c r="D37" s="409">
        <f t="shared" si="1"/>
        <v>0.55110588581086051</v>
      </c>
      <c r="E37" s="779">
        <v>7500</v>
      </c>
      <c r="F37" s="740"/>
      <c r="H37" s="753" t="s">
        <v>926</v>
      </c>
      <c r="I37" s="754" t="s">
        <v>243</v>
      </c>
      <c r="J37" s="737">
        <v>0.2</v>
      </c>
      <c r="K37" s="737"/>
      <c r="L37" s="737"/>
      <c r="M37" s="737"/>
      <c r="N37" s="738"/>
    </row>
    <row r="38" spans="2:14" ht="34" x14ac:dyDescent="0.2">
      <c r="B38" s="745"/>
      <c r="C38" s="730" t="s">
        <v>927</v>
      </c>
      <c r="D38" s="409">
        <f t="shared" si="1"/>
        <v>0.36813873172165479</v>
      </c>
      <c r="E38" s="779">
        <v>5010</v>
      </c>
      <c r="F38" s="740"/>
      <c r="H38" s="745"/>
      <c r="N38" s="740"/>
    </row>
    <row r="39" spans="2:14" ht="17" x14ac:dyDescent="0.2">
      <c r="B39" s="745"/>
      <c r="C39" s="730" t="s">
        <v>928</v>
      </c>
      <c r="D39" s="409">
        <f t="shared" si="1"/>
        <v>1.2267617018149755</v>
      </c>
      <c r="E39" s="779">
        <v>16695</v>
      </c>
      <c r="F39" s="740"/>
      <c r="H39" s="745"/>
      <c r="I39" s="755" t="s">
        <v>446</v>
      </c>
      <c r="J39" s="755" t="s">
        <v>41</v>
      </c>
      <c r="K39" s="755" t="s">
        <v>929</v>
      </c>
      <c r="L39" s="755" t="s">
        <v>43</v>
      </c>
      <c r="M39" s="755" t="s">
        <v>44</v>
      </c>
      <c r="N39" s="756" t="s">
        <v>45</v>
      </c>
    </row>
    <row r="40" spans="2:14" ht="17" x14ac:dyDescent="0.2">
      <c r="B40" s="745"/>
      <c r="C40" s="730" t="s">
        <v>930</v>
      </c>
      <c r="D40" s="409">
        <f>E40/$E$16</f>
        <v>0.51436549342346971</v>
      </c>
      <c r="E40" s="779">
        <v>7000</v>
      </c>
      <c r="F40" s="740"/>
      <c r="H40" s="746" t="s">
        <v>931</v>
      </c>
      <c r="I40" s="407">
        <v>0</v>
      </c>
      <c r="J40" s="728">
        <f>'FE MK OM Bases_Y1-Y5'!D16</f>
        <v>13609</v>
      </c>
      <c r="K40" s="757">
        <f>'FE MK OM Bases_Y1-Y5'!E16</f>
        <v>26946.754829430902</v>
      </c>
      <c r="L40" s="757">
        <f>'FE MK OM Bases_Y1-Y5'!F16</f>
        <v>70987.976810634093</v>
      </c>
      <c r="M40" s="758">
        <f>'FE MK OM Bases_Y1-Y5'!G16</f>
        <v>121817.7332882349</v>
      </c>
      <c r="N40" s="759">
        <f>'FE MK OM Bases_Y1-Y5'!H16</f>
        <v>169528.6417044081</v>
      </c>
    </row>
    <row r="41" spans="2:14" ht="17" x14ac:dyDescent="0.2">
      <c r="B41" s="745"/>
      <c r="C41" s="730" t="s">
        <v>932</v>
      </c>
      <c r="D41" s="409">
        <f>E41/$E$16</f>
        <v>2.0350503343375705E-2</v>
      </c>
      <c r="E41" s="779">
        <v>276.95</v>
      </c>
      <c r="F41" s="740"/>
      <c r="H41" s="746" t="s">
        <v>933</v>
      </c>
      <c r="I41" s="409">
        <f>-1*E43</f>
        <v>-174456.94</v>
      </c>
      <c r="J41" s="409">
        <f>($E$47+$E$50+$E$54+(($D$29+$D$49)*J40))*-1</f>
        <v>-403804.84172377223</v>
      </c>
      <c r="K41" s="409">
        <f>($E$47+$E$50+$E$54+(($D$29+$D$49)*K40))*-1</f>
        <v>-467391.10251401749</v>
      </c>
      <c r="L41" s="409">
        <f>($E$47+$E$50+$E$54+(($D$29+$D$49)*L40))*-1</f>
        <v>-677352.7236587177</v>
      </c>
      <c r="M41" s="409">
        <f>($E$47+$E$50+$E$54+(($D$29+$D$49)*M40))*-1</f>
        <v>-919677.92700984946</v>
      </c>
      <c r="N41" s="760">
        <f>($E$47+$E$50+$E$54+(($D$29+$D$49)*N40))*-1</f>
        <v>-1147134.3695586394</v>
      </c>
    </row>
    <row r="42" spans="2:14" ht="20" x14ac:dyDescent="0.35">
      <c r="B42" s="745"/>
      <c r="C42" s="730" t="s">
        <v>934</v>
      </c>
      <c r="D42" s="731">
        <f t="shared" si="1"/>
        <v>5.2171357190094789E-2</v>
      </c>
      <c r="E42" s="783">
        <v>710</v>
      </c>
      <c r="F42" s="740"/>
      <c r="H42" s="746" t="s">
        <v>935</v>
      </c>
      <c r="I42" s="408">
        <v>0</v>
      </c>
      <c r="J42" s="409">
        <f>J40*$I$21*-1</f>
        <v>-6804.5</v>
      </c>
      <c r="K42" s="409">
        <f>K40*$I$21*-1</f>
        <v>-13473.377414715451</v>
      </c>
      <c r="L42" s="409">
        <f>L40*$I$21*-1</f>
        <v>-35493.988405317046</v>
      </c>
      <c r="M42" s="409">
        <f>M40*$I$21*-1</f>
        <v>-60908.86664411745</v>
      </c>
      <c r="N42" s="760">
        <f>N40*$I$21*-1</f>
        <v>-84764.320852204051</v>
      </c>
    </row>
    <row r="43" spans="2:14" ht="17" x14ac:dyDescent="0.2">
      <c r="B43" s="745"/>
      <c r="C43" s="732" t="s">
        <v>936</v>
      </c>
      <c r="D43" s="733">
        <f>SUM(D32:D42)</f>
        <v>12.819232860606951</v>
      </c>
      <c r="E43" s="784">
        <f>SUM(E32:E42)</f>
        <v>174456.94</v>
      </c>
      <c r="F43" s="740"/>
      <c r="H43" s="746" t="s">
        <v>937</v>
      </c>
      <c r="I43" s="408">
        <v>0</v>
      </c>
      <c r="J43" s="409">
        <f>J42</f>
        <v>-6804.5</v>
      </c>
      <c r="K43" s="409">
        <f>K42</f>
        <v>-13473.377414715451</v>
      </c>
      <c r="L43" s="409">
        <f>L42</f>
        <v>-35493.988405317046</v>
      </c>
      <c r="M43" s="409">
        <f>I41+M41</f>
        <v>-1094134.8670098495</v>
      </c>
      <c r="N43" s="760">
        <f>N41</f>
        <v>-1147134.3695586394</v>
      </c>
    </row>
    <row r="44" spans="2:14" x14ac:dyDescent="0.2">
      <c r="B44" s="745"/>
      <c r="E44" s="781"/>
      <c r="F44" s="740"/>
      <c r="H44" s="761"/>
      <c r="N44" s="740"/>
    </row>
    <row r="45" spans="2:14" ht="34" x14ac:dyDescent="0.2">
      <c r="B45" s="747" t="s">
        <v>938</v>
      </c>
      <c r="C45" s="730" t="s">
        <v>939</v>
      </c>
      <c r="D45" s="409">
        <f>E45/$E$16</f>
        <v>2.3881255051803953</v>
      </c>
      <c r="E45" s="785">
        <f>5000*6.5</f>
        <v>32500</v>
      </c>
      <c r="F45" s="740"/>
      <c r="H45" s="745"/>
      <c r="N45" s="740"/>
    </row>
    <row r="46" spans="2:14" ht="20" x14ac:dyDescent="0.35">
      <c r="B46" s="745"/>
      <c r="C46" s="730" t="s">
        <v>940</v>
      </c>
      <c r="D46" s="734">
        <f>E46/$E$16</f>
        <v>5.1436549342346973</v>
      </c>
      <c r="E46" s="786">
        <f>5000*1*14</f>
        <v>70000</v>
      </c>
      <c r="F46" s="740"/>
      <c r="H46" s="741" t="s">
        <v>941</v>
      </c>
      <c r="I46" s="412">
        <f>NPV(J37,I41:N41)</f>
        <v>-1776708.1276800041</v>
      </c>
      <c r="N46" s="740"/>
    </row>
    <row r="47" spans="2:14" ht="17" x14ac:dyDescent="0.2">
      <c r="B47" s="745"/>
      <c r="C47" s="732" t="s">
        <v>942</v>
      </c>
      <c r="D47" s="733">
        <f>SUM(D45:D46)</f>
        <v>7.5317804394150922</v>
      </c>
      <c r="E47" s="784">
        <f>SUM(E45:E46)</f>
        <v>102500</v>
      </c>
      <c r="F47" s="740"/>
      <c r="H47" s="741" t="s">
        <v>943</v>
      </c>
      <c r="I47" s="413">
        <f>NPV(J37,I42:N42)</f>
        <v>-82504.833080629323</v>
      </c>
      <c r="N47" s="740"/>
    </row>
    <row r="48" spans="2:14" x14ac:dyDescent="0.2">
      <c r="B48" s="745"/>
      <c r="E48" s="781"/>
      <c r="F48" s="740"/>
      <c r="H48" s="750" t="s">
        <v>944</v>
      </c>
      <c r="I48" s="414">
        <f>NPV(J37,I43:N43)</f>
        <v>-853520.76924951503</v>
      </c>
      <c r="J48" s="742"/>
      <c r="K48" s="742"/>
      <c r="L48" s="742"/>
      <c r="M48" s="742"/>
      <c r="N48" s="743"/>
    </row>
    <row r="49" spans="2:10" x14ac:dyDescent="0.2">
      <c r="B49" s="746" t="s">
        <v>945</v>
      </c>
      <c r="C49" s="407" t="s">
        <v>946</v>
      </c>
      <c r="D49" s="408">
        <v>2.4</v>
      </c>
      <c r="E49" s="781">
        <f>D49*$E$16</f>
        <v>32661.599999999999</v>
      </c>
      <c r="F49" s="740"/>
    </row>
    <row r="50" spans="2:10" ht="19" x14ac:dyDescent="0.35">
      <c r="B50" s="745"/>
      <c r="C50" s="407" t="s">
        <v>947</v>
      </c>
      <c r="D50" s="410">
        <f>E50/$E$16</f>
        <v>11.830406348739805</v>
      </c>
      <c r="E50" s="787">
        <v>161000</v>
      </c>
      <c r="F50" s="740"/>
    </row>
    <row r="51" spans="2:10" x14ac:dyDescent="0.2">
      <c r="B51" s="745"/>
      <c r="C51" s="726" t="s">
        <v>948</v>
      </c>
      <c r="D51" s="733">
        <f>SUM(D49:D50)</f>
        <v>14.230406348739805</v>
      </c>
      <c r="E51" s="784">
        <f>SUM(E49:E50)</f>
        <v>193661.6</v>
      </c>
      <c r="F51" s="740"/>
    </row>
    <row r="52" spans="2:10" x14ac:dyDescent="0.2">
      <c r="B52" s="745"/>
      <c r="E52" s="781"/>
      <c r="F52" s="740"/>
      <c r="J52" s="409"/>
    </row>
    <row r="53" spans="2:10" ht="34" x14ac:dyDescent="0.2">
      <c r="B53" s="747" t="s">
        <v>949</v>
      </c>
      <c r="C53" s="407" t="s">
        <v>950</v>
      </c>
      <c r="D53" s="415">
        <f>E53/$E$16</f>
        <v>5.5423212425642774</v>
      </c>
      <c r="E53" s="787">
        <f>0.15*(E29+E51+E43+E47)</f>
        <v>75425.449790057246</v>
      </c>
      <c r="F53" s="740"/>
    </row>
    <row r="54" spans="2:10" x14ac:dyDescent="0.2">
      <c r="B54" s="745"/>
      <c r="C54" s="726" t="s">
        <v>951</v>
      </c>
      <c r="D54" s="411">
        <f>D53</f>
        <v>5.5423212425642774</v>
      </c>
      <c r="E54" s="780">
        <f>E53</f>
        <v>75425.449790057246</v>
      </c>
      <c r="F54" s="740"/>
    </row>
    <row r="55" spans="2:10" x14ac:dyDescent="0.2">
      <c r="B55" s="745"/>
      <c r="E55" s="781"/>
      <c r="F55" s="740"/>
    </row>
    <row r="56" spans="2:10" x14ac:dyDescent="0.2">
      <c r="B56" s="745"/>
      <c r="C56" s="726" t="s">
        <v>952</v>
      </c>
      <c r="D56" s="735">
        <f>SUM(D19:D24,D32:D42,D45:D46,D49:D50,D53)</f>
        <v>41.313730721326124</v>
      </c>
      <c r="E56" s="784">
        <f>SUM(E19:E28,E32:E42,E45:E46,E49:E50,E53)</f>
        <v>578261.78172377218</v>
      </c>
      <c r="F56" s="740"/>
      <c r="H56" s="407" t="s">
        <v>38</v>
      </c>
    </row>
    <row r="57" spans="2:10" x14ac:dyDescent="0.2">
      <c r="B57" s="748"/>
      <c r="C57" s="742"/>
      <c r="D57" s="742"/>
      <c r="E57" s="742"/>
      <c r="F57" s="743"/>
    </row>
  </sheetData>
  <mergeCells count="1">
    <mergeCell ref="B3:N3"/>
  </mergeCells>
  <hyperlinks>
    <hyperlink ref="B1" location="Index!A1" display="Back to Index" xr:uid="{1ACF28C2-4E9A-4902-85AE-6FF35810A0E5}"/>
  </hyperlink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9AD17-D26E-C94E-949E-C2F5EF97B838}">
  <sheetPr>
    <tabColor rgb="FF00B0F0"/>
  </sheetPr>
  <dimension ref="B1:V67"/>
  <sheetViews>
    <sheetView showGridLines="0" zoomScale="70" zoomScaleNormal="70" workbookViewId="0">
      <pane ySplit="5" topLeftCell="A6" activePane="bottomLeft" state="frozen"/>
      <selection pane="bottomLeft"/>
    </sheetView>
  </sheetViews>
  <sheetFormatPr baseColWidth="10" defaultColWidth="11.5" defaultRowHeight="15" x14ac:dyDescent="0.2"/>
  <cols>
    <col min="1" max="1" width="1.83203125" customWidth="1"/>
    <col min="2" max="2" width="9.33203125" customWidth="1"/>
    <col min="3" max="3" width="27.5" customWidth="1"/>
    <col min="4" max="4" width="18.5" customWidth="1"/>
    <col min="5" max="5" width="14.5" customWidth="1"/>
    <col min="6" max="6" width="17.83203125" customWidth="1"/>
    <col min="7" max="7" width="20.33203125" bestFit="1" customWidth="1"/>
    <col min="8" max="8" width="25.6640625" customWidth="1"/>
    <col min="9" max="10" width="17.5" customWidth="1"/>
    <col min="11" max="11" width="25.5" customWidth="1"/>
    <col min="12" max="12" width="16" customWidth="1"/>
    <col min="13" max="13" width="17.5" customWidth="1"/>
    <col min="14" max="14" width="24" customWidth="1"/>
    <col min="15" max="15" width="20" customWidth="1"/>
    <col min="16" max="16" width="23.5" customWidth="1"/>
    <col min="17" max="17" width="20" customWidth="1"/>
  </cols>
  <sheetData>
    <row r="1" spans="2:16" x14ac:dyDescent="0.2">
      <c r="B1" s="56" t="s">
        <v>37</v>
      </c>
    </row>
    <row r="3" spans="2:16" x14ac:dyDescent="0.2">
      <c r="B3" s="1818" t="s">
        <v>953</v>
      </c>
      <c r="C3" s="1818"/>
      <c r="D3" s="1818"/>
      <c r="E3" s="1818"/>
      <c r="F3" s="1818"/>
      <c r="G3" s="1818"/>
      <c r="H3" s="1818"/>
      <c r="I3" s="1818"/>
      <c r="J3" s="1818"/>
      <c r="K3" s="1818"/>
      <c r="L3" s="1818"/>
      <c r="M3" s="1818"/>
      <c r="N3" s="1818"/>
      <c r="O3" s="1818"/>
      <c r="P3" s="1818"/>
    </row>
    <row r="5" spans="2:16" x14ac:dyDescent="0.2">
      <c r="B5" s="1068"/>
      <c r="C5" s="4" t="s">
        <v>188</v>
      </c>
      <c r="D5" s="4" t="s">
        <v>787</v>
      </c>
      <c r="E5" s="4" t="s">
        <v>788</v>
      </c>
      <c r="F5" s="4" t="s">
        <v>789</v>
      </c>
      <c r="G5" s="4" t="s">
        <v>790</v>
      </c>
      <c r="H5" s="4" t="s">
        <v>791</v>
      </c>
    </row>
    <row r="6" spans="2:16" ht="14" customHeight="1" x14ac:dyDescent="0.25">
      <c r="B6" s="1472"/>
      <c r="C6" t="s">
        <v>799</v>
      </c>
      <c r="D6" s="641">
        <f>E26</f>
        <v>8384991.9999999991</v>
      </c>
      <c r="E6" s="641">
        <f>D6*(1+E7)</f>
        <v>8566206.5786870942</v>
      </c>
      <c r="F6" s="641">
        <f>E6*(1+F7)</f>
        <v>8751337.5264689643</v>
      </c>
      <c r="G6" s="641">
        <f>F6*(1+G7)</f>
        <v>8940469.4830418061</v>
      </c>
      <c r="H6" s="641">
        <f>G6*(1+H7)</f>
        <v>9133688.9173160717</v>
      </c>
    </row>
    <row r="7" spans="2:16" ht="23.5" customHeight="1" x14ac:dyDescent="0.3">
      <c r="B7" s="1473"/>
      <c r="C7" t="s">
        <v>954</v>
      </c>
      <c r="E7" s="64">
        <f>J29</f>
        <v>2.1611777171295331E-2</v>
      </c>
      <c r="F7" s="64">
        <f>J29</f>
        <v>2.1611777171295331E-2</v>
      </c>
      <c r="G7" s="64">
        <f>J29</f>
        <v>2.1611777171295331E-2</v>
      </c>
      <c r="H7" s="64">
        <f>J29</f>
        <v>2.1611777171295331E-2</v>
      </c>
    </row>
    <row r="8" spans="2:16" ht="23.5" customHeight="1" x14ac:dyDescent="0.3">
      <c r="B8" s="1473"/>
    </row>
    <row r="9" spans="2:16" ht="23.5" customHeight="1" x14ac:dyDescent="0.3">
      <c r="B9" s="1473"/>
      <c r="C9" t="s">
        <v>32</v>
      </c>
      <c r="D9" s="36">
        <f>'MK ACV'!C9</f>
        <v>0.13999999999999999</v>
      </c>
      <c r="E9" s="33">
        <f>'MK ACV'!C14</f>
        <v>0.16999999999999998</v>
      </c>
      <c r="F9" s="36">
        <f>'MK ACV'!C20</f>
        <v>0.22</v>
      </c>
      <c r="G9" s="36">
        <f>'MK ACV'!C26</f>
        <v>0.27</v>
      </c>
      <c r="H9" s="36">
        <f>'MK ACV'!C32</f>
        <v>0.33</v>
      </c>
    </row>
    <row r="10" spans="2:16" ht="23.5" customHeight="1" x14ac:dyDescent="0.3">
      <c r="B10" s="1473"/>
    </row>
    <row r="11" spans="2:16" ht="23.5" customHeight="1" x14ac:dyDescent="0.3">
      <c r="B11" s="1473"/>
      <c r="C11" t="s">
        <v>801</v>
      </c>
      <c r="D11" s="215">
        <f>'MK IMC Schedule'!F7</f>
        <v>7.0800000000000002E-2</v>
      </c>
      <c r="E11" s="215">
        <f>'MK IMC Schedule'!G7</f>
        <v>0.11552788037831878</v>
      </c>
      <c r="F11" s="215">
        <f>'MK IMC Schedule'!H7</f>
        <v>0.22599816595833735</v>
      </c>
      <c r="G11" s="215">
        <f>'MK IMC Schedule'!I7</f>
        <v>0.28163940665543019</v>
      </c>
      <c r="H11" s="215">
        <f>'MK IMC Schedule'!J7</f>
        <v>0.30987634925741753</v>
      </c>
    </row>
    <row r="12" spans="2:16" ht="23.5" customHeight="1" x14ac:dyDescent="0.3">
      <c r="B12" s="1473"/>
      <c r="C12" t="s">
        <v>294</v>
      </c>
      <c r="D12" s="20">
        <f>'MK IMC Schedule'!F8</f>
        <v>182271.95200000002</v>
      </c>
      <c r="E12" s="20">
        <f>'MK IMC Schedule'!G8</f>
        <v>180588.6</v>
      </c>
      <c r="F12" s="20">
        <f>'MK IMC Schedule'!H8</f>
        <v>265810.08799999999</v>
      </c>
      <c r="G12" s="20">
        <f>'MK IMC Schedule'!I8</f>
        <v>362405.4</v>
      </c>
      <c r="H12" s="20">
        <f>'MK IMC Schedule'!J8</f>
        <v>383749.72639999999</v>
      </c>
    </row>
    <row r="13" spans="2:16" ht="23.5" customHeight="1" x14ac:dyDescent="0.3">
      <c r="B13" s="1473"/>
    </row>
    <row r="14" spans="2:16" ht="31" customHeight="1" x14ac:dyDescent="0.3">
      <c r="B14" s="1473"/>
      <c r="C14" s="53" t="s">
        <v>297</v>
      </c>
      <c r="D14" s="20">
        <f>'MK Avg Manf. Selling Price'!F13</f>
        <v>84.778571428571439</v>
      </c>
      <c r="E14" s="20">
        <f>'MK Avg Manf. Selling Price'!F21</f>
        <v>86.661764705882362</v>
      </c>
      <c r="F14" s="20">
        <f>'MK Avg Manf. Selling Price'!F29</f>
        <v>85.094394687154605</v>
      </c>
      <c r="G14" s="20">
        <f>'MK Avg Manf. Selling Price'!F38</f>
        <v>76.655946659340358</v>
      </c>
      <c r="H14" s="20">
        <f>'MK Avg Manf. Selling Price'!F46</f>
        <v>75.431718016378113</v>
      </c>
    </row>
    <row r="15" spans="2:16" ht="31" customHeight="1" x14ac:dyDescent="0.3">
      <c r="B15" s="1473"/>
      <c r="C15" s="53" t="s">
        <v>955</v>
      </c>
      <c r="D15" s="20">
        <f>'MK Avg Manf. Selling Price'!D12</f>
        <v>49.503571428571426</v>
      </c>
      <c r="E15" s="20">
        <f>'MK Avg Manf. Selling Price'!D20</f>
        <v>49.189705882352946</v>
      </c>
      <c r="F15" s="20">
        <f>'MK Avg Manf. Selling Price'!D28</f>
        <v>46.384977609219568</v>
      </c>
      <c r="G15" s="20">
        <f>'MK Avg Manf. Selling Price'!D37</f>
        <v>45.150854986944765</v>
      </c>
      <c r="H15" s="20">
        <f>'MK Avg Manf. Selling Price'!D45</f>
        <v>44.454622937924668</v>
      </c>
    </row>
    <row r="16" spans="2:16" ht="14.5" customHeight="1" x14ac:dyDescent="0.3">
      <c r="B16" s="1473"/>
    </row>
    <row r="17" spans="2:16" x14ac:dyDescent="0.2">
      <c r="B17" s="52"/>
      <c r="C17" s="52"/>
    </row>
    <row r="18" spans="2:16" x14ac:dyDescent="0.2">
      <c r="B18" s="52"/>
      <c r="C18" s="52"/>
    </row>
    <row r="19" spans="2:16" ht="14.5" customHeight="1" x14ac:dyDescent="0.2">
      <c r="B19" s="1818" t="s">
        <v>956</v>
      </c>
      <c r="C19" s="1818"/>
      <c r="D19" s="1818"/>
      <c r="E19" s="1818"/>
      <c r="F19" s="1818"/>
      <c r="G19" s="1818"/>
      <c r="H19" s="1818"/>
      <c r="I19" s="1818"/>
      <c r="J19" s="1818"/>
      <c r="K19" s="1818"/>
      <c r="L19" s="1818"/>
      <c r="M19" s="1818"/>
      <c r="N19" s="1818"/>
      <c r="O19" s="1818"/>
      <c r="P19" s="1818"/>
    </row>
    <row r="20" spans="2:16" x14ac:dyDescent="0.2">
      <c r="C20" s="35" t="s">
        <v>957</v>
      </c>
      <c r="G20" s="35" t="s">
        <v>958</v>
      </c>
      <c r="N20" s="35" t="s">
        <v>959</v>
      </c>
    </row>
    <row r="22" spans="2:16" ht="64" x14ac:dyDescent="0.2">
      <c r="C22" s="719" t="s">
        <v>960</v>
      </c>
      <c r="D22" s="719" t="s">
        <v>961</v>
      </c>
      <c r="E22" s="719" t="s">
        <v>799</v>
      </c>
      <c r="G22" s="1013" t="s">
        <v>188</v>
      </c>
      <c r="H22" s="1011" t="s">
        <v>962</v>
      </c>
      <c r="I22" s="1012" t="s">
        <v>963</v>
      </c>
      <c r="J22" s="1013" t="s">
        <v>188</v>
      </c>
      <c r="K22" s="1011" t="s">
        <v>964</v>
      </c>
      <c r="L22" s="1012" t="s">
        <v>963</v>
      </c>
      <c r="N22" s="122" t="s">
        <v>965</v>
      </c>
      <c r="O22" s="99"/>
      <c r="P22" s="121" t="s">
        <v>966</v>
      </c>
    </row>
    <row r="23" spans="2:16" ht="32" x14ac:dyDescent="0.2">
      <c r="C23" s="722" t="s">
        <v>967</v>
      </c>
      <c r="D23" s="720">
        <v>1</v>
      </c>
      <c r="E23" s="721">
        <v>17600000</v>
      </c>
      <c r="G23" s="1015">
        <v>2021</v>
      </c>
      <c r="H23" s="1022">
        <v>24300000</v>
      </c>
      <c r="I23" s="1014"/>
      <c r="J23" s="1015">
        <v>2015</v>
      </c>
      <c r="K23" s="1016">
        <f>1-0.106-0.1-0.096</f>
        <v>0.69800000000000006</v>
      </c>
      <c r="L23" s="1017"/>
      <c r="N23" s="104" t="s">
        <v>787</v>
      </c>
      <c r="O23" s="17">
        <v>765150000</v>
      </c>
      <c r="P23" s="108">
        <v>4.4200000000000003E-2</v>
      </c>
    </row>
    <row r="24" spans="2:16" ht="16" x14ac:dyDescent="0.2">
      <c r="C24" s="722" t="s">
        <v>968</v>
      </c>
      <c r="D24" s="720">
        <f>83%</f>
        <v>0.83</v>
      </c>
      <c r="E24" s="721">
        <f>$E$23*D24</f>
        <v>14608000</v>
      </c>
      <c r="G24" s="1015">
        <v>2022</v>
      </c>
      <c r="H24" s="1022">
        <v>24300000</v>
      </c>
      <c r="I24" s="1018">
        <f>(H24-H23)/H23</f>
        <v>0</v>
      </c>
      <c r="J24" s="1015">
        <v>2016</v>
      </c>
      <c r="K24" s="1019">
        <f>1-0.104-0.09-0.092</f>
        <v>0.71400000000000008</v>
      </c>
      <c r="L24" s="1014">
        <f>(K24-K23)/K23</f>
        <v>2.2922636103151879E-2</v>
      </c>
      <c r="N24" s="104" t="s">
        <v>788</v>
      </c>
      <c r="O24" s="17">
        <f>O23*(1+$P$23)</f>
        <v>798969630</v>
      </c>
      <c r="P24" s="106"/>
    </row>
    <row r="25" spans="2:16" ht="48" x14ac:dyDescent="0.2">
      <c r="C25" s="722" t="s">
        <v>969</v>
      </c>
      <c r="D25" s="720">
        <v>0.82</v>
      </c>
      <c r="E25" s="721">
        <f>E24*D25</f>
        <v>11978560</v>
      </c>
      <c r="G25" s="1015">
        <v>2023</v>
      </c>
      <c r="H25" s="1022">
        <v>24300000</v>
      </c>
      <c r="I25" s="1018">
        <f>(H25-H24)/H24</f>
        <v>0</v>
      </c>
      <c r="J25" s="1015">
        <v>2017</v>
      </c>
      <c r="K25" s="1019">
        <f>1-0.1-0.091-0.092</f>
        <v>0.71700000000000008</v>
      </c>
      <c r="L25" s="1018">
        <f>(K25-K24)/K24</f>
        <v>4.2016806722689109E-3</v>
      </c>
      <c r="N25" s="104" t="s">
        <v>789</v>
      </c>
      <c r="O25" s="17">
        <f>O24*(1+$P$23)</f>
        <v>834284087.64600003</v>
      </c>
      <c r="P25" s="106"/>
    </row>
    <row r="26" spans="2:16" ht="32" x14ac:dyDescent="0.2">
      <c r="C26" s="722" t="s">
        <v>970</v>
      </c>
      <c r="D26" s="720">
        <v>0.7</v>
      </c>
      <c r="E26" s="1029">
        <f>E25*D26</f>
        <v>8384991.9999999991</v>
      </c>
      <c r="G26" s="1015">
        <v>2024</v>
      </c>
      <c r="H26" s="1022">
        <v>24600000</v>
      </c>
      <c r="I26" s="1018">
        <f>(H26-H25)/H25</f>
        <v>1.2345679012345678E-2</v>
      </c>
      <c r="J26" s="1015">
        <v>2018</v>
      </c>
      <c r="K26" s="1019">
        <f>1-0.101-0.088-0.087</f>
        <v>0.72400000000000009</v>
      </c>
      <c r="L26" s="1018">
        <f>(K26-K25)/K25</f>
        <v>9.7629009762901058E-3</v>
      </c>
      <c r="N26" s="104" t="s">
        <v>790</v>
      </c>
      <c r="O26" s="17">
        <f>O25*(1+$P$23)</f>
        <v>871159444.3199532</v>
      </c>
      <c r="P26" s="106"/>
    </row>
    <row r="27" spans="2:16" x14ac:dyDescent="0.2">
      <c r="D27" s="930"/>
      <c r="E27" s="58"/>
      <c r="G27" s="1020">
        <v>2025</v>
      </c>
      <c r="H27" s="1022">
        <v>24700000</v>
      </c>
      <c r="I27" s="1018">
        <f>(H27-H26)/H26</f>
        <v>4.0650406504065045E-3</v>
      </c>
      <c r="J27" s="1015">
        <v>2019</v>
      </c>
      <c r="K27" s="1019">
        <f>1-0.089-0.08-0.083</f>
        <v>0.74800000000000011</v>
      </c>
      <c r="L27" s="1018">
        <f>(K27-K26)/K26</f>
        <v>3.3149171270718258E-2</v>
      </c>
      <c r="N27" s="123" t="s">
        <v>791</v>
      </c>
      <c r="O27" s="15">
        <f>O26*(1+$P$23)</f>
        <v>909664691.75889516</v>
      </c>
      <c r="P27" s="124"/>
    </row>
    <row r="28" spans="2:16" ht="16" x14ac:dyDescent="0.2">
      <c r="G28" s="1021"/>
      <c r="H28" s="1023" t="s">
        <v>971</v>
      </c>
      <c r="I28" s="1025">
        <f>AVERAGE(I24:I27)</f>
        <v>4.1026799156880459E-3</v>
      </c>
      <c r="J28" s="1026"/>
      <c r="K28" s="1023" t="s">
        <v>971</v>
      </c>
      <c r="L28" s="1024">
        <f>AVERAGE(L24:L27)</f>
        <v>1.7509097255607287E-2</v>
      </c>
    </row>
    <row r="29" spans="2:16" ht="32" x14ac:dyDescent="0.2">
      <c r="G29" s="1021"/>
      <c r="H29" s="1021"/>
      <c r="I29" s="1027" t="s">
        <v>972</v>
      </c>
      <c r="J29" s="1028">
        <f>SUM(I28,L28)</f>
        <v>2.1611777171295331E-2</v>
      </c>
      <c r="K29" s="1021"/>
      <c r="L29" s="1021"/>
    </row>
    <row r="30" spans="2:16" x14ac:dyDescent="0.2">
      <c r="C30" s="5"/>
      <c r="G30" s="1021"/>
      <c r="J30" s="1021"/>
      <c r="K30" s="1021"/>
      <c r="L30" s="1021"/>
    </row>
    <row r="40" spans="4:22" x14ac:dyDescent="0.2">
      <c r="D40" s="5"/>
      <c r="G40" s="1168"/>
      <c r="H40" s="1169"/>
      <c r="I40" s="1169"/>
      <c r="J40" s="1169"/>
      <c r="K40" s="1169"/>
      <c r="L40" s="1169"/>
      <c r="M40" s="1169"/>
      <c r="N40" s="1169"/>
      <c r="O40" s="1169"/>
      <c r="P40" s="1169"/>
      <c r="Q40" s="1169"/>
      <c r="R40" s="1169"/>
      <c r="S40" s="1169"/>
    </row>
    <row r="41" spans="4:22" x14ac:dyDescent="0.2">
      <c r="D41" s="5"/>
      <c r="E41" s="599"/>
      <c r="F41" s="599"/>
      <c r="G41" s="1168"/>
      <c r="H41" s="1170"/>
      <c r="I41" s="1168"/>
      <c r="J41" s="1168"/>
      <c r="K41" s="1168"/>
      <c r="L41" s="1170"/>
      <c r="M41" s="1170"/>
      <c r="N41" s="1170"/>
      <c r="O41" s="1169"/>
      <c r="P41" s="1169"/>
      <c r="Q41" s="1169"/>
      <c r="R41" s="1169"/>
      <c r="S41" s="1169"/>
    </row>
    <row r="42" spans="4:22" x14ac:dyDescent="0.2">
      <c r="E42" s="36"/>
      <c r="F42" s="58"/>
      <c r="G42" s="53"/>
      <c r="H42" s="1171"/>
      <c r="I42" s="1169"/>
      <c r="J42" s="1171"/>
      <c r="K42" s="1169"/>
      <c r="L42" s="1169"/>
      <c r="M42" s="1169"/>
      <c r="N42" s="1169"/>
      <c r="O42" s="1169"/>
      <c r="P42" s="1169"/>
      <c r="Q42" s="1172"/>
      <c r="R42" s="1171"/>
      <c r="S42" s="1171"/>
      <c r="T42" s="1171"/>
    </row>
    <row r="43" spans="4:22" x14ac:dyDescent="0.2">
      <c r="E43" s="36"/>
      <c r="F43" s="58"/>
      <c r="G43" s="53"/>
      <c r="H43" s="1171"/>
      <c r="I43" s="1169"/>
      <c r="J43" s="1169"/>
      <c r="K43" s="1169"/>
      <c r="L43" s="1169"/>
      <c r="M43" s="1169"/>
      <c r="N43" s="1169"/>
      <c r="O43" s="1169"/>
      <c r="P43" s="1169"/>
      <c r="Q43" s="1172"/>
      <c r="R43" s="1171"/>
      <c r="S43" s="1171"/>
      <c r="T43" s="1171"/>
    </row>
    <row r="44" spans="4:22" x14ac:dyDescent="0.2">
      <c r="E44" s="58"/>
      <c r="F44" s="58"/>
      <c r="G44" s="53"/>
      <c r="H44" s="1171"/>
      <c r="I44" s="1169"/>
      <c r="J44" s="1169"/>
      <c r="K44" s="1169"/>
      <c r="L44" s="1169"/>
      <c r="M44" s="1169"/>
      <c r="N44" s="1169"/>
      <c r="O44" s="1169"/>
      <c r="P44" s="1169"/>
      <c r="Q44" s="1173"/>
      <c r="R44" s="1171"/>
      <c r="S44" s="1171"/>
      <c r="T44" s="1171"/>
    </row>
    <row r="45" spans="4:22" x14ac:dyDescent="0.2">
      <c r="E45" s="58"/>
      <c r="F45" s="58"/>
      <c r="G45" s="53"/>
      <c r="H45" s="1171"/>
      <c r="I45" s="1169"/>
      <c r="J45" s="1169"/>
      <c r="K45" s="1169"/>
      <c r="L45" s="1169"/>
      <c r="M45" s="1169"/>
      <c r="N45" s="1169"/>
      <c r="O45" s="1169"/>
      <c r="P45" s="1169"/>
      <c r="Q45" s="1174"/>
      <c r="R45" s="1171"/>
      <c r="S45" s="1169"/>
    </row>
    <row r="46" spans="4:22" x14ac:dyDescent="0.2">
      <c r="D46" s="5"/>
      <c r="E46" s="599"/>
      <c r="F46" s="599"/>
      <c r="G46" s="1168"/>
      <c r="H46" s="1168"/>
      <c r="I46" s="1168"/>
      <c r="J46" s="1168"/>
      <c r="K46" s="1168"/>
      <c r="L46" s="1170"/>
      <c r="M46" s="1170"/>
      <c r="N46" s="1170"/>
      <c r="O46" s="1175"/>
      <c r="P46" s="1169"/>
      <c r="Q46" s="1169"/>
      <c r="R46" s="1169"/>
      <c r="S46" s="1169"/>
    </row>
    <row r="47" spans="4:22" x14ac:dyDescent="0.2">
      <c r="E47" s="36"/>
      <c r="F47" s="58"/>
      <c r="H47" s="1171"/>
      <c r="I47" s="1169"/>
      <c r="J47" s="1171"/>
      <c r="K47" s="1169"/>
      <c r="L47" s="1169"/>
      <c r="M47" s="1169"/>
      <c r="N47" s="1169"/>
      <c r="O47" s="1169"/>
      <c r="P47" s="1169"/>
      <c r="Q47" s="1176"/>
      <c r="R47" s="58"/>
      <c r="S47" s="1171"/>
      <c r="V47" s="1169"/>
    </row>
    <row r="48" spans="4:22" x14ac:dyDescent="0.2">
      <c r="E48" s="36"/>
      <c r="F48" s="58"/>
      <c r="G48" s="53"/>
      <c r="H48" s="1171"/>
      <c r="I48" s="1169"/>
      <c r="J48" s="1169"/>
      <c r="K48" s="1169"/>
      <c r="L48" s="1169"/>
      <c r="M48" s="1169"/>
      <c r="N48" s="1169"/>
      <c r="O48" s="1169"/>
      <c r="P48" s="1169"/>
      <c r="Q48" s="1173"/>
      <c r="R48" s="58"/>
      <c r="S48" s="1171"/>
      <c r="V48" s="1169"/>
    </row>
    <row r="49" spans="4:22" x14ac:dyDescent="0.2">
      <c r="E49" s="58"/>
      <c r="F49" s="58"/>
      <c r="G49" s="53"/>
      <c r="H49" s="1171"/>
      <c r="I49" s="1169"/>
      <c r="J49" s="1169"/>
      <c r="K49" s="1169"/>
      <c r="L49" s="1169"/>
      <c r="M49" s="1169"/>
      <c r="N49" s="1169"/>
      <c r="O49" s="1169"/>
      <c r="P49" s="1174"/>
      <c r="Q49" s="1173"/>
      <c r="R49" s="58"/>
      <c r="S49" s="1171"/>
      <c r="V49" s="1169"/>
    </row>
    <row r="50" spans="4:22" x14ac:dyDescent="0.2">
      <c r="E50" s="58"/>
      <c r="F50" s="58"/>
      <c r="G50" s="53"/>
      <c r="H50" s="1171"/>
      <c r="I50" s="1169"/>
      <c r="J50" s="1169"/>
      <c r="K50" s="1169"/>
      <c r="L50" s="1169"/>
      <c r="M50" s="1169"/>
      <c r="N50" s="1169"/>
      <c r="O50" s="1169"/>
      <c r="P50" s="1174"/>
      <c r="Q50" s="1174"/>
      <c r="R50" s="1171"/>
      <c r="S50" s="1169"/>
    </row>
    <row r="51" spans="4:22" x14ac:dyDescent="0.2">
      <c r="D51" s="5"/>
      <c r="E51" s="599"/>
      <c r="F51" s="599"/>
      <c r="G51" s="1168"/>
      <c r="H51" s="1168"/>
      <c r="I51" s="1168"/>
      <c r="J51" s="1168"/>
      <c r="K51" s="1168"/>
      <c r="L51" s="1170"/>
      <c r="M51" s="1170"/>
      <c r="N51" s="1170"/>
      <c r="O51" s="1175"/>
      <c r="P51" s="1169"/>
      <c r="Q51" s="1169"/>
      <c r="R51" s="1169"/>
      <c r="S51" s="1169"/>
    </row>
    <row r="52" spans="4:22" x14ac:dyDescent="0.2">
      <c r="E52" s="36"/>
      <c r="F52" s="58"/>
      <c r="H52" s="1171"/>
      <c r="I52" s="1169"/>
      <c r="J52" s="1171"/>
      <c r="K52" s="1169"/>
      <c r="L52" s="1171"/>
      <c r="M52" s="1169"/>
      <c r="N52" s="1169"/>
      <c r="O52" s="53"/>
      <c r="P52" s="53"/>
      <c r="Q52" s="1177"/>
      <c r="R52" s="1171"/>
      <c r="S52" s="1169"/>
    </row>
    <row r="53" spans="4:22" x14ac:dyDescent="0.2">
      <c r="E53" s="36"/>
      <c r="F53" s="58"/>
      <c r="G53" s="53"/>
      <c r="H53" s="1171"/>
      <c r="I53" s="1169"/>
      <c r="J53" s="1169"/>
      <c r="K53" s="1169"/>
      <c r="L53" s="1171"/>
      <c r="M53" s="1169"/>
      <c r="N53" s="1169"/>
      <c r="O53" s="53"/>
      <c r="Q53" s="1177"/>
      <c r="R53" s="1171"/>
      <c r="S53" s="1169"/>
    </row>
    <row r="54" spans="4:22" x14ac:dyDescent="0.2">
      <c r="E54" s="36"/>
      <c r="F54" s="58"/>
      <c r="G54" s="53"/>
      <c r="H54" s="1171"/>
      <c r="I54" s="1169"/>
      <c r="J54" s="1169"/>
      <c r="K54" s="1169"/>
      <c r="L54" s="1171"/>
      <c r="M54" s="1169"/>
      <c r="N54" s="1169"/>
      <c r="O54" s="53"/>
      <c r="Q54" s="1177"/>
      <c r="R54" s="1171"/>
      <c r="S54" s="1178"/>
    </row>
    <row r="55" spans="4:22" x14ac:dyDescent="0.2">
      <c r="E55" s="58"/>
      <c r="F55" s="58"/>
      <c r="G55" s="1169"/>
      <c r="H55" s="1171"/>
      <c r="I55" s="1169"/>
      <c r="J55" s="1169"/>
      <c r="K55" s="1169"/>
      <c r="L55" s="1171"/>
      <c r="M55" s="1169"/>
      <c r="N55" s="1169"/>
    </row>
    <row r="56" spans="4:22" x14ac:dyDescent="0.2">
      <c r="D56" s="5"/>
      <c r="E56" s="599"/>
      <c r="F56" s="599"/>
      <c r="G56" s="1168"/>
      <c r="H56" s="1168"/>
      <c r="I56" s="1168"/>
      <c r="J56" s="1168"/>
      <c r="K56" s="1168"/>
      <c r="L56" s="1170"/>
      <c r="M56" s="1170"/>
      <c r="N56" s="1170"/>
      <c r="O56" s="1169"/>
      <c r="P56" s="1169"/>
      <c r="Q56" s="1169"/>
      <c r="R56" s="1169"/>
      <c r="S56" s="1169"/>
    </row>
    <row r="57" spans="4:22" x14ac:dyDescent="0.2">
      <c r="E57" s="36"/>
      <c r="F57" s="58"/>
      <c r="G57" s="1169"/>
      <c r="H57" s="1169"/>
      <c r="I57" s="1169"/>
      <c r="J57" s="1171"/>
      <c r="K57" s="1169"/>
      <c r="L57" s="1171"/>
      <c r="M57" s="1169"/>
      <c r="N57" s="1171"/>
      <c r="R57" s="1169"/>
      <c r="S57" s="1169"/>
    </row>
    <row r="58" spans="4:22" x14ac:dyDescent="0.2">
      <c r="E58" s="36"/>
      <c r="F58" s="58"/>
      <c r="G58" s="1169"/>
      <c r="H58" s="1169"/>
      <c r="I58" s="1169"/>
      <c r="J58" s="1169"/>
      <c r="K58" s="1169"/>
      <c r="L58" s="1171"/>
      <c r="M58" s="1169"/>
      <c r="N58" s="1171"/>
      <c r="R58" s="1169"/>
    </row>
    <row r="59" spans="4:22" x14ac:dyDescent="0.2">
      <c r="E59" s="36"/>
      <c r="F59" s="58"/>
      <c r="G59" s="1169"/>
      <c r="H59" s="1169"/>
      <c r="I59" s="1169"/>
      <c r="J59" s="1169"/>
      <c r="K59" s="1169"/>
      <c r="L59" s="1171"/>
      <c r="M59" s="1169"/>
      <c r="N59" s="1171"/>
      <c r="R59" s="1169"/>
      <c r="S59" s="1169"/>
    </row>
    <row r="60" spans="4:22" x14ac:dyDescent="0.2">
      <c r="E60" s="36"/>
      <c r="F60" s="58"/>
      <c r="G60" s="1169"/>
      <c r="H60" s="1169"/>
      <c r="I60" s="1169"/>
      <c r="J60" s="1169"/>
      <c r="K60" s="1169"/>
      <c r="L60" s="1171"/>
      <c r="M60" s="1169"/>
      <c r="N60" s="1171"/>
      <c r="O60" s="1169"/>
      <c r="P60" s="1169"/>
      <c r="Q60" s="1169"/>
      <c r="R60" s="1169"/>
      <c r="S60" s="1169"/>
    </row>
    <row r="61" spans="4:22" x14ac:dyDescent="0.2">
      <c r="E61" s="58"/>
      <c r="F61" s="58"/>
      <c r="G61" s="1169"/>
      <c r="H61" s="1169"/>
      <c r="I61" s="1169"/>
      <c r="J61" s="1169"/>
      <c r="K61" s="1169"/>
      <c r="L61" s="1169"/>
      <c r="M61" s="1169"/>
      <c r="N61" s="1169"/>
      <c r="O61" s="1169"/>
      <c r="P61" s="1169"/>
      <c r="Q61" s="1169"/>
      <c r="R61" s="1169"/>
      <c r="S61" s="1169"/>
    </row>
    <row r="62" spans="4:22" x14ac:dyDescent="0.2">
      <c r="D62" s="5"/>
      <c r="E62" s="599"/>
      <c r="F62" s="599"/>
      <c r="G62" s="1168"/>
      <c r="H62" s="1168"/>
      <c r="I62" s="1168"/>
      <c r="J62" s="1168"/>
      <c r="K62" s="1168"/>
      <c r="L62" s="1170"/>
      <c r="M62" s="1170"/>
      <c r="N62" s="1170"/>
      <c r="O62" s="1169"/>
      <c r="P62" s="1169"/>
      <c r="Q62" s="1169"/>
      <c r="R62" s="1169"/>
      <c r="S62" s="1169"/>
    </row>
    <row r="63" spans="4:22" x14ac:dyDescent="0.2">
      <c r="E63" s="36"/>
      <c r="F63" s="58"/>
      <c r="G63" s="1169"/>
      <c r="H63" s="1169"/>
      <c r="I63" s="1169"/>
      <c r="J63" s="1171"/>
      <c r="K63" s="1169"/>
      <c r="L63" s="1171"/>
      <c r="M63" s="1169"/>
      <c r="N63" s="1171"/>
      <c r="O63" s="1169"/>
      <c r="P63" s="1169"/>
      <c r="Q63" s="1169"/>
      <c r="R63" s="1169"/>
      <c r="S63" s="1169"/>
    </row>
    <row r="64" spans="4:22" x14ac:dyDescent="0.2">
      <c r="E64" s="36"/>
      <c r="F64" s="58"/>
      <c r="G64" s="1169"/>
      <c r="H64" s="1169"/>
      <c r="I64" s="1169"/>
      <c r="J64" s="1169"/>
      <c r="K64" s="1169"/>
      <c r="L64" s="1171"/>
      <c r="M64" s="1169"/>
      <c r="N64" s="1171"/>
      <c r="O64" s="1169"/>
      <c r="P64" s="1169"/>
      <c r="Q64" s="1169"/>
      <c r="R64" s="1169"/>
      <c r="S64" s="1169"/>
    </row>
    <row r="65" spans="5:19" x14ac:dyDescent="0.2">
      <c r="E65" s="36"/>
      <c r="F65" s="58"/>
      <c r="G65" s="1169"/>
      <c r="H65" s="1169"/>
      <c r="I65" s="1169"/>
      <c r="J65" s="1169"/>
      <c r="K65" s="1169"/>
      <c r="L65" s="1171"/>
      <c r="M65" s="1169"/>
      <c r="N65" s="1171"/>
      <c r="O65" s="1169"/>
      <c r="P65" s="1169"/>
      <c r="Q65" s="1169"/>
      <c r="R65" s="1169"/>
      <c r="S65" s="1169"/>
    </row>
    <row r="66" spans="5:19" x14ac:dyDescent="0.2">
      <c r="E66" s="36"/>
      <c r="F66" s="58"/>
      <c r="G66" s="1169"/>
      <c r="H66" s="1169"/>
      <c r="I66" s="1169"/>
      <c r="J66" s="1169"/>
      <c r="K66" s="1169"/>
      <c r="L66" s="1171"/>
      <c r="M66" s="1169"/>
      <c r="N66" s="1171"/>
      <c r="O66" s="1169"/>
      <c r="P66" s="1169"/>
      <c r="Q66" s="1169"/>
      <c r="R66" s="1169"/>
      <c r="S66" s="1169"/>
    </row>
    <row r="67" spans="5:19" x14ac:dyDescent="0.2">
      <c r="E67" s="58"/>
      <c r="F67" s="58"/>
      <c r="G67" s="1169"/>
      <c r="H67" s="1169"/>
      <c r="I67" s="1169"/>
      <c r="J67" s="1169"/>
      <c r="K67" s="1169"/>
      <c r="L67" s="1169"/>
      <c r="M67" s="1169"/>
      <c r="N67" s="1169"/>
      <c r="O67" s="1169"/>
      <c r="P67" s="1169"/>
      <c r="Q67" s="1169"/>
      <c r="R67" s="1169"/>
      <c r="S67" s="1169"/>
    </row>
  </sheetData>
  <mergeCells count="2">
    <mergeCell ref="B3:P3"/>
    <mergeCell ref="B19:P19"/>
  </mergeCells>
  <hyperlinks>
    <hyperlink ref="B1" location="Index!A1" display="Back to Index" xr:uid="{E8001692-15FF-4517-BBBF-BE8390086565}"/>
  </hyperlink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9644F-41D5-274D-B951-C48CE9C3CA8E}">
  <sheetPr>
    <tabColor rgb="FF00B0F0"/>
  </sheetPr>
  <dimension ref="B1:H35"/>
  <sheetViews>
    <sheetView showGridLines="0" topLeftCell="A2" zoomScale="143" workbookViewId="0">
      <selection activeCell="C10" sqref="C10"/>
    </sheetView>
  </sheetViews>
  <sheetFormatPr baseColWidth="10" defaultColWidth="8.83203125" defaultRowHeight="15" x14ac:dyDescent="0.2"/>
  <cols>
    <col min="1" max="1" width="1.83203125" customWidth="1"/>
    <col min="2" max="2" width="21" customWidth="1"/>
    <col min="3" max="3" width="21.1640625" bestFit="1" customWidth="1"/>
    <col min="4" max="4" width="22.6640625" customWidth="1"/>
    <col min="5" max="5" width="21.5" customWidth="1"/>
    <col min="6" max="6" width="21.1640625" customWidth="1"/>
    <col min="7" max="7" width="22" customWidth="1"/>
  </cols>
  <sheetData>
    <row r="1" spans="2:8" x14ac:dyDescent="0.2">
      <c r="B1" s="56" t="s">
        <v>37</v>
      </c>
    </row>
    <row r="3" spans="2:8" ht="14.5" customHeight="1" x14ac:dyDescent="0.2">
      <c r="B3" s="1818" t="s">
        <v>973</v>
      </c>
      <c r="C3" s="1818"/>
      <c r="D3" s="1818"/>
      <c r="E3" s="1818"/>
      <c r="F3" s="1818"/>
      <c r="G3" s="1818"/>
    </row>
    <row r="4" spans="2:8" ht="14.5" customHeight="1" x14ac:dyDescent="0.2">
      <c r="B4" s="1475"/>
      <c r="C4" s="1475"/>
      <c r="D4" s="1475"/>
      <c r="E4" s="1475"/>
      <c r="F4" s="1475"/>
      <c r="G4" s="1475"/>
    </row>
    <row r="5" spans="2:8" ht="15.75" customHeight="1" x14ac:dyDescent="0.25">
      <c r="B5" s="776"/>
      <c r="C5" s="1807" t="s">
        <v>188</v>
      </c>
      <c r="D5" s="1807"/>
      <c r="E5" s="1807"/>
      <c r="F5" s="1807"/>
      <c r="G5" s="1807"/>
      <c r="H5" s="195"/>
    </row>
    <row r="6" spans="2:8" ht="15.75" customHeight="1" x14ac:dyDescent="0.2">
      <c r="B6" s="795"/>
      <c r="C6" s="188">
        <v>1</v>
      </c>
      <c r="D6" s="188">
        <v>2</v>
      </c>
      <c r="E6" s="188">
        <v>3</v>
      </c>
      <c r="F6" s="188">
        <v>4</v>
      </c>
      <c r="G6" s="188">
        <v>5</v>
      </c>
      <c r="H6" s="195"/>
    </row>
    <row r="7" spans="2:8" ht="28.5" customHeight="1" x14ac:dyDescent="0.2">
      <c r="B7" s="53" t="s">
        <v>974</v>
      </c>
      <c r="C7" s="1476">
        <f>'MK Assumptions'!D6</f>
        <v>8384991.9999999991</v>
      </c>
      <c r="D7" s="1476">
        <f>(1+D8)*C7</f>
        <v>8566206.5786870942</v>
      </c>
      <c r="E7" s="1476">
        <f>(1+E8)*D7</f>
        <v>8751337.5264689643</v>
      </c>
      <c r="F7" s="1476">
        <f>(1+F8)*E7</f>
        <v>8940469.4830418061</v>
      </c>
      <c r="G7" s="1476">
        <f>(1+G8)*F7</f>
        <v>9133688.9173160717</v>
      </c>
    </row>
    <row r="8" spans="2:8" ht="22.5" customHeight="1" x14ac:dyDescent="0.2">
      <c r="B8" s="53" t="s">
        <v>954</v>
      </c>
      <c r="C8" s="64"/>
      <c r="D8" s="64">
        <f>'MK Assumptions'!$J$29</f>
        <v>2.1611777171295331E-2</v>
      </c>
      <c r="E8" s="64">
        <f>'MK Assumptions'!$J$29</f>
        <v>2.1611777171295331E-2</v>
      </c>
      <c r="F8" s="64">
        <f>'MK Assumptions'!$J$29</f>
        <v>2.1611777171295331E-2</v>
      </c>
      <c r="G8" s="64">
        <f>'MK Assumptions'!$J$29</f>
        <v>2.1611777171295331E-2</v>
      </c>
    </row>
    <row r="9" spans="2:8" ht="48" x14ac:dyDescent="0.2">
      <c r="B9" s="53" t="s">
        <v>975</v>
      </c>
      <c r="C9" s="64">
        <f>(-0.0019*'MK Avg Manf. Selling Price'!F13+0.313+'MK Purchase Intent and Price'!T22)</f>
        <v>0.16374844537815125</v>
      </c>
      <c r="D9" s="64">
        <f>(-0.0019*'MK Avg Manf. Selling Price'!F21+0.313+'MK Purchase Intent and Price'!T22)</f>
        <v>0.16017037815126051</v>
      </c>
      <c r="E9" s="64">
        <f>(-0.0019*'MK Avg Manf. Selling Price'!F29+0.313+'MK Purchase Intent and Price'!T22)</f>
        <v>0.16314838118684324</v>
      </c>
      <c r="F9" s="64">
        <f>(-0.0019*'MK Avg Manf. Selling Price'!F38+0.313+'MK Purchase Intent and Price'!T22)</f>
        <v>0.17918143243969031</v>
      </c>
      <c r="G9" s="64">
        <f>(-0.0019*'MK Avg Manf. Selling Price'!F46+0.313+'MK Purchase Intent and Price'!T22)</f>
        <v>0.18150746686131858</v>
      </c>
    </row>
    <row r="10" spans="2:8" ht="22.5" customHeight="1" x14ac:dyDescent="0.2">
      <c r="B10" s="53" t="s">
        <v>801</v>
      </c>
      <c r="C10" s="64">
        <f>'MK IMC Schedule'!T54</f>
        <v>7.0800000000000002E-2</v>
      </c>
      <c r="D10" s="64">
        <f>'MK IMC Schedule'!T104</f>
        <v>0.11552788037831878</v>
      </c>
      <c r="E10" s="215">
        <f>'MK IMC Schedule'!T154</f>
        <v>0.22599816595833735</v>
      </c>
      <c r="F10" s="64">
        <f>'MK IMC Schedule'!T223</f>
        <v>0.28163940665543019</v>
      </c>
      <c r="G10" s="1062">
        <f>'MK IMC Schedule'!T294</f>
        <v>0.30987634925741753</v>
      </c>
    </row>
    <row r="11" spans="2:8" ht="18" customHeight="1" x14ac:dyDescent="0.2">
      <c r="B11" s="53" t="s">
        <v>32</v>
      </c>
      <c r="C11" s="64">
        <f>'MK ACV'!C9</f>
        <v>0.13999999999999999</v>
      </c>
      <c r="D11" s="64">
        <f>'MK ACV'!C14</f>
        <v>0.16999999999999998</v>
      </c>
      <c r="E11" s="64">
        <f>'MK ACV'!C20</f>
        <v>0.22</v>
      </c>
      <c r="F11" s="64">
        <f>'MK ACV'!C26</f>
        <v>0.27</v>
      </c>
      <c r="G11" s="64">
        <f>'MK ACV'!C32</f>
        <v>0.33</v>
      </c>
    </row>
    <row r="12" spans="2:8" ht="20.25" customHeight="1" x14ac:dyDescent="0.2">
      <c r="B12" s="53" t="s">
        <v>976</v>
      </c>
      <c r="C12" s="9">
        <v>1</v>
      </c>
      <c r="D12" s="9">
        <v>1</v>
      </c>
      <c r="E12" s="9">
        <v>1</v>
      </c>
      <c r="F12" s="9">
        <v>1</v>
      </c>
      <c r="G12" s="9">
        <v>1</v>
      </c>
    </row>
    <row r="13" spans="2:8" ht="22.5" customHeight="1" x14ac:dyDescent="0.2">
      <c r="B13" s="53" t="s">
        <v>977</v>
      </c>
      <c r="C13" s="22">
        <f>C7*PRODUCT(C9:C12)</f>
        <v>13609.467457485625</v>
      </c>
      <c r="D13" s="22">
        <f>D7*PRODUCT(D9:D12)</f>
        <v>26946.754829430902</v>
      </c>
      <c r="E13" s="22">
        <f t="shared" ref="E13:G13" si="0">E7*PRODUCT(E9:E12)</f>
        <v>70987.976810634093</v>
      </c>
      <c r="F13" s="22">
        <f t="shared" si="0"/>
        <v>121817.7332882349</v>
      </c>
      <c r="G13" s="22">
        <f t="shared" si="0"/>
        <v>169528.6417044081</v>
      </c>
    </row>
    <row r="14" spans="2:8" ht="36" customHeight="1" x14ac:dyDescent="0.2">
      <c r="B14" s="560" t="s">
        <v>978</v>
      </c>
      <c r="C14" s="558">
        <f>C13</f>
        <v>13609.467457485625</v>
      </c>
      <c r="D14" s="558">
        <f>D13</f>
        <v>26946.754829430902</v>
      </c>
      <c r="E14" s="558">
        <f>E13</f>
        <v>70987.976810634093</v>
      </c>
      <c r="F14" s="558">
        <f>F13</f>
        <v>121817.7332882349</v>
      </c>
      <c r="G14" s="558">
        <f>G13</f>
        <v>169528.6417044081</v>
      </c>
    </row>
    <row r="15" spans="2:8" ht="18.75" customHeight="1" x14ac:dyDescent="0.2">
      <c r="B15" s="560" t="s">
        <v>979</v>
      </c>
      <c r="C15" s="619">
        <f>ROUND(C14,0)</f>
        <v>13609</v>
      </c>
      <c r="D15" s="619">
        <f>ROUND(D14,0)</f>
        <v>26947</v>
      </c>
      <c r="E15" s="619">
        <f>ROUND(E14,0)</f>
        <v>70988</v>
      </c>
      <c r="F15" s="619">
        <f>F14</f>
        <v>121817.7332882349</v>
      </c>
      <c r="G15" s="619">
        <f>ROUND(G14,0)</f>
        <v>169529</v>
      </c>
    </row>
    <row r="16" spans="2:8" ht="61" customHeight="1" x14ac:dyDescent="0.2">
      <c r="B16" s="53" t="s">
        <v>980</v>
      </c>
      <c r="C16" s="17">
        <f>'MK Avg Manf. Selling Price'!D12</f>
        <v>49.503571428571426</v>
      </c>
      <c r="D16" s="32">
        <f>'MK Avg Manf. Selling Price'!D20</f>
        <v>49.189705882352946</v>
      </c>
      <c r="E16" s="32">
        <f>'MK Avg Manf. Selling Price'!D28</f>
        <v>46.384977609219568</v>
      </c>
      <c r="F16" s="32">
        <f>'MK Avg Manf. Selling Price'!D37</f>
        <v>45.150854986944765</v>
      </c>
      <c r="G16" s="32">
        <f>'MK Avg Manf. Selling Price'!D45</f>
        <v>44.454622937924668</v>
      </c>
    </row>
    <row r="17" spans="2:8" ht="32" x14ac:dyDescent="0.2">
      <c r="B17" s="560" t="s">
        <v>981</v>
      </c>
      <c r="C17" s="559">
        <f>C15*C16</f>
        <v>673694.10357142857</v>
      </c>
      <c r="D17" s="559">
        <f t="shared" ref="D17:F17" si="1">D15*D16</f>
        <v>1325515.0044117649</v>
      </c>
      <c r="E17" s="559">
        <f t="shared" si="1"/>
        <v>3292776.7905232785</v>
      </c>
      <c r="F17" s="559">
        <f t="shared" si="1"/>
        <v>5500174.8105354076</v>
      </c>
      <c r="G17" s="559">
        <f>G15*G16</f>
        <v>7536347.7720434312</v>
      </c>
      <c r="H17" s="557"/>
    </row>
    <row r="19" spans="2:8" x14ac:dyDescent="0.2">
      <c r="G19" s="21"/>
    </row>
    <row r="22" spans="2:8" x14ac:dyDescent="0.2">
      <c r="B22" s="3"/>
      <c r="C22" s="64"/>
      <c r="D22" s="64"/>
      <c r="E22" s="64"/>
      <c r="F22" s="64"/>
    </row>
    <row r="23" spans="2:8" x14ac:dyDescent="0.2">
      <c r="C23" s="64"/>
      <c r="D23" s="64"/>
      <c r="E23" s="64"/>
      <c r="F23" s="64"/>
    </row>
    <row r="24" spans="2:8" x14ac:dyDescent="0.2">
      <c r="C24" s="64"/>
      <c r="D24" s="64"/>
      <c r="E24" s="64"/>
      <c r="F24" s="64"/>
    </row>
    <row r="26" spans="2:8" x14ac:dyDescent="0.2">
      <c r="B26" s="20"/>
      <c r="C26" s="20"/>
      <c r="D26" s="20"/>
      <c r="E26" s="20"/>
      <c r="F26" s="20"/>
    </row>
    <row r="27" spans="2:8" x14ac:dyDescent="0.2">
      <c r="B27" s="103"/>
      <c r="C27" s="103"/>
      <c r="D27" s="103"/>
      <c r="E27" s="103"/>
      <c r="F27" s="103"/>
    </row>
    <row r="28" spans="2:8" x14ac:dyDescent="0.2">
      <c r="B28" s="20"/>
      <c r="C28" s="20"/>
      <c r="D28" s="20"/>
      <c r="E28" s="20"/>
      <c r="F28" s="20"/>
    </row>
    <row r="29" spans="2:8" x14ac:dyDescent="0.2">
      <c r="D29" t="s">
        <v>38</v>
      </c>
    </row>
    <row r="31" spans="2:8" x14ac:dyDescent="0.2">
      <c r="C31" s="119"/>
    </row>
    <row r="32" spans="2:8" x14ac:dyDescent="0.2">
      <c r="C32" s="119"/>
    </row>
    <row r="33" spans="3:3" x14ac:dyDescent="0.2">
      <c r="C33" s="119"/>
    </row>
    <row r="34" spans="3:3" x14ac:dyDescent="0.2">
      <c r="C34" s="119"/>
    </row>
    <row r="35" spans="3:3" x14ac:dyDescent="0.2">
      <c r="C35" s="119"/>
    </row>
  </sheetData>
  <mergeCells count="2">
    <mergeCell ref="B3:G3"/>
    <mergeCell ref="C5:G5"/>
  </mergeCells>
  <hyperlinks>
    <hyperlink ref="B1" location="Index!A1" display="Back to Index" xr:uid="{0DD6F1D4-EEF6-49CF-A63A-4AFE8470BE16}"/>
  </hyperlinks>
  <pageMargins left="0.7" right="0.7" top="0.75" bottom="0.75" header="0.3" footer="0.3"/>
  <pageSetup orientation="portrait" horizontalDpi="0" verticalDpi="0"/>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F72D2-C2F0-5B40-BC44-77C91E02C96A}">
  <sheetPr>
    <tabColor rgb="FF00B0F0"/>
  </sheetPr>
  <dimension ref="B1:U62"/>
  <sheetViews>
    <sheetView showGridLines="0" topLeftCell="A3" zoomScale="125" zoomScaleNormal="70" workbookViewId="0">
      <selection activeCell="E33" sqref="E33"/>
    </sheetView>
  </sheetViews>
  <sheetFormatPr baseColWidth="10" defaultColWidth="8.83203125" defaultRowHeight="15" x14ac:dyDescent="0.2"/>
  <cols>
    <col min="1" max="1" width="1.83203125" customWidth="1"/>
    <col min="2" max="2" width="54.33203125" customWidth="1"/>
    <col min="3" max="6" width="23.5" customWidth="1"/>
    <col min="7" max="7" width="9" bestFit="1" customWidth="1"/>
    <col min="8" max="8" width="21.5" customWidth="1"/>
    <col min="9" max="9" width="24.1640625" customWidth="1"/>
    <col min="10" max="10" width="36.83203125" customWidth="1"/>
    <col min="11" max="11" width="19.5" customWidth="1"/>
    <col min="12" max="12" width="41.1640625" customWidth="1"/>
    <col min="13" max="13" width="12.33203125" customWidth="1"/>
    <col min="14" max="14" width="30.33203125" customWidth="1"/>
    <col min="15" max="15" width="11.1640625" customWidth="1"/>
    <col min="21" max="21" width="29.5" customWidth="1"/>
  </cols>
  <sheetData>
    <row r="1" spans="2:21" x14ac:dyDescent="0.2">
      <c r="B1" s="56" t="s">
        <v>37</v>
      </c>
    </row>
    <row r="2" spans="2:21" x14ac:dyDescent="0.2">
      <c r="B2" s="56"/>
    </row>
    <row r="3" spans="2:21" x14ac:dyDescent="0.2">
      <c r="B3" s="1822" t="s">
        <v>982</v>
      </c>
      <c r="C3" s="1822"/>
      <c r="D3" s="1822"/>
      <c r="E3" s="1822"/>
      <c r="F3" s="1822"/>
      <c r="G3" s="1822"/>
      <c r="H3" s="1822"/>
      <c r="I3" s="1822"/>
      <c r="J3" s="1822"/>
      <c r="K3" s="1822"/>
      <c r="L3" s="1822"/>
      <c r="M3" s="1822"/>
      <c r="N3" s="1822"/>
      <c r="O3" s="1822"/>
      <c r="P3" s="1822"/>
      <c r="Q3" s="1822"/>
      <c r="R3" s="1822"/>
      <c r="S3" s="1822"/>
      <c r="T3" s="1822"/>
      <c r="U3" s="1822"/>
    </row>
    <row r="4" spans="2:21" x14ac:dyDescent="0.2">
      <c r="B4" s="56"/>
    </row>
    <row r="5" spans="2:21" x14ac:dyDescent="0.2">
      <c r="B5" s="56"/>
      <c r="H5" s="1807" t="s">
        <v>983</v>
      </c>
      <c r="I5" s="1807"/>
      <c r="J5" s="1807"/>
    </row>
    <row r="6" spans="2:21" x14ac:dyDescent="0.2">
      <c r="B6" s="1847" t="s">
        <v>984</v>
      </c>
      <c r="C6" s="1847"/>
      <c r="D6" s="1847"/>
      <c r="E6" s="1847"/>
      <c r="F6" s="1847"/>
      <c r="G6" s="1479"/>
      <c r="H6" s="1851" t="s">
        <v>798</v>
      </c>
      <c r="I6" s="1851"/>
      <c r="J6" s="1482" t="s">
        <v>985</v>
      </c>
      <c r="K6" s="1479"/>
      <c r="L6" s="1847" t="s">
        <v>986</v>
      </c>
      <c r="M6" s="1847"/>
      <c r="N6" s="1847"/>
      <c r="O6" s="1479"/>
      <c r="Q6" s="1479"/>
      <c r="R6" s="1479"/>
      <c r="S6" s="1479"/>
      <c r="T6" s="1479"/>
      <c r="U6" s="1479"/>
    </row>
    <row r="7" spans="2:21" x14ac:dyDescent="0.2">
      <c r="B7" s="1068" t="s">
        <v>41</v>
      </c>
      <c r="C7" s="1068" t="s">
        <v>987</v>
      </c>
      <c r="D7" s="1068" t="s">
        <v>988</v>
      </c>
      <c r="E7" s="1068" t="s">
        <v>989</v>
      </c>
      <c r="F7" s="1068" t="s">
        <v>990</v>
      </c>
      <c r="G7" s="36"/>
      <c r="H7" s="120" t="s">
        <v>991</v>
      </c>
      <c r="I7" s="173">
        <f>I8*(1+N33)</f>
        <v>95.449999999999989</v>
      </c>
      <c r="J7" s="1480">
        <f>-0.0019*I7+0.313</f>
        <v>0.13164500000000001</v>
      </c>
      <c r="L7" s="1852" t="s">
        <v>992</v>
      </c>
      <c r="M7" s="1852"/>
      <c r="N7" s="1852"/>
    </row>
    <row r="8" spans="2:21" ht="50.25" customHeight="1" x14ac:dyDescent="0.25">
      <c r="B8" t="s">
        <v>993</v>
      </c>
      <c r="C8" s="58">
        <f>'MK ACV'!D7</f>
        <v>0.14285714285714288</v>
      </c>
      <c r="D8" s="86">
        <f>(1-E8)*F8</f>
        <v>47.724999999999994</v>
      </c>
      <c r="E8" s="58">
        <v>0.5</v>
      </c>
      <c r="F8" s="86">
        <f>I7</f>
        <v>95.449999999999989</v>
      </c>
      <c r="H8" s="104" t="s">
        <v>994</v>
      </c>
      <c r="I8" s="107">
        <v>83</v>
      </c>
      <c r="J8" s="503">
        <f>-0.0019*I8+0.313</f>
        <v>0.15529999999999999</v>
      </c>
      <c r="L8" s="924"/>
      <c r="M8" s="925" t="s">
        <v>995</v>
      </c>
      <c r="N8" s="926" t="s">
        <v>996</v>
      </c>
      <c r="P8" s="923" t="s">
        <v>997</v>
      </c>
    </row>
    <row r="9" spans="2:21" ht="41.25" customHeight="1" x14ac:dyDescent="0.2">
      <c r="B9" t="s">
        <v>998</v>
      </c>
      <c r="C9" s="58">
        <f>'MK ACV'!D8</f>
        <v>0.85714285714285721</v>
      </c>
      <c r="D9" s="86">
        <f>(1-E9)*F9</f>
        <v>49.8</v>
      </c>
      <c r="E9" s="58">
        <v>0.4</v>
      </c>
      <c r="F9" s="86">
        <f>I8</f>
        <v>83</v>
      </c>
      <c r="H9" s="104" t="s">
        <v>999</v>
      </c>
      <c r="I9" s="107">
        <f>I8*(1-O34)</f>
        <v>75.844170779350392</v>
      </c>
      <c r="J9" s="503">
        <f>-0.0019*I9+0.313</f>
        <v>0.16889607551923425</v>
      </c>
      <c r="L9" s="104" t="s">
        <v>994</v>
      </c>
      <c r="M9" s="918">
        <v>10</v>
      </c>
      <c r="N9" s="919">
        <f>(M9-M9)/M9</f>
        <v>0</v>
      </c>
      <c r="P9" s="1846" t="s">
        <v>1000</v>
      </c>
      <c r="Q9" s="1846"/>
      <c r="R9" s="1846"/>
      <c r="S9" s="1846"/>
      <c r="T9" s="1846"/>
      <c r="U9" s="1846"/>
    </row>
    <row r="10" spans="2:21" x14ac:dyDescent="0.2">
      <c r="B10" t="s">
        <v>1001</v>
      </c>
      <c r="C10" s="176"/>
      <c r="D10" s="177"/>
      <c r="E10" s="178"/>
      <c r="F10" s="177"/>
      <c r="H10" s="104" t="s">
        <v>1002</v>
      </c>
      <c r="I10" s="107">
        <f>I9*(1-O35)</f>
        <v>68.738392791787504</v>
      </c>
      <c r="J10" s="503">
        <f>-0.0019*I10+0.313</f>
        <v>0.18239705369560374</v>
      </c>
      <c r="K10" s="56"/>
      <c r="L10" s="104" t="s">
        <v>991</v>
      </c>
      <c r="M10" s="918">
        <v>29.99</v>
      </c>
      <c r="N10" s="919">
        <f>(M10-M9)/M9</f>
        <v>1.9989999999999999</v>
      </c>
      <c r="P10" s="1846"/>
      <c r="Q10" s="1846"/>
      <c r="R10" s="1846"/>
      <c r="S10" s="1846"/>
      <c r="T10" s="1846"/>
      <c r="U10" s="1846"/>
    </row>
    <row r="11" spans="2:21" x14ac:dyDescent="0.2">
      <c r="B11" t="s">
        <v>1003</v>
      </c>
      <c r="C11" s="176"/>
      <c r="D11" s="177"/>
      <c r="E11" s="178"/>
      <c r="F11" s="177"/>
      <c r="H11" s="1848" t="s">
        <v>1004</v>
      </c>
      <c r="I11" s="1849"/>
      <c r="J11" s="1481">
        <f>AVERAGE(J7:J10)</f>
        <v>0.15955953230370951</v>
      </c>
      <c r="K11" s="56"/>
      <c r="L11" s="180" t="s">
        <v>1005</v>
      </c>
      <c r="M11" s="918">
        <v>21.99</v>
      </c>
      <c r="N11" s="919">
        <f>(M11-M9)/M9</f>
        <v>1.1989999999999998</v>
      </c>
      <c r="P11" s="1846"/>
      <c r="Q11" s="1846"/>
      <c r="R11" s="1846"/>
      <c r="S11" s="1846"/>
      <c r="T11" s="1846"/>
      <c r="U11" s="1846"/>
    </row>
    <row r="12" spans="2:21" x14ac:dyDescent="0.2">
      <c r="B12" s="5" t="s">
        <v>1006</v>
      </c>
      <c r="D12" s="179">
        <f>(SUMPRODUCT(C8:C9,D8:D9))</f>
        <v>49.503571428571426</v>
      </c>
      <c r="F12" s="86"/>
      <c r="L12" s="104" t="s">
        <v>1002</v>
      </c>
      <c r="M12" s="918">
        <v>18.989999999999998</v>
      </c>
      <c r="N12" s="919">
        <f>(M12-M9)/M9</f>
        <v>0.8989999999999998</v>
      </c>
      <c r="P12" s="1846"/>
      <c r="Q12" s="1846"/>
      <c r="R12" s="1846"/>
      <c r="S12" s="1846"/>
      <c r="T12" s="1846"/>
      <c r="U12" s="1846"/>
    </row>
    <row r="13" spans="2:21" x14ac:dyDescent="0.2">
      <c r="B13" s="5" t="s">
        <v>1007</v>
      </c>
      <c r="D13" s="86"/>
      <c r="F13" s="179">
        <f>SUMPRODUCT(C8:C9,F8:F9)</f>
        <v>84.778571428571439</v>
      </c>
      <c r="L13" s="104"/>
      <c r="M13" s="918"/>
      <c r="N13" s="822"/>
      <c r="P13" s="1846"/>
      <c r="Q13" s="1846"/>
      <c r="R13" s="1846"/>
      <c r="S13" s="1846"/>
      <c r="T13" s="1846"/>
      <c r="U13" s="1846"/>
    </row>
    <row r="14" spans="2:21" ht="66" customHeight="1" thickBot="1" x14ac:dyDescent="0.25">
      <c r="B14" s="578"/>
      <c r="C14" s="578"/>
      <c r="D14" s="578"/>
      <c r="E14" s="578"/>
      <c r="F14" s="578"/>
      <c r="H14" s="1850" t="s">
        <v>1008</v>
      </c>
      <c r="I14" s="1850"/>
      <c r="L14" s="927"/>
      <c r="M14" s="928" t="s">
        <v>1009</v>
      </c>
      <c r="N14" s="929" t="s">
        <v>996</v>
      </c>
      <c r="P14" s="1846"/>
      <c r="Q14" s="1846"/>
      <c r="R14" s="1846"/>
      <c r="S14" s="1846"/>
      <c r="T14" s="1846"/>
      <c r="U14" s="1846"/>
    </row>
    <row r="15" spans="2:21" x14ac:dyDescent="0.2">
      <c r="B15" s="1068" t="s">
        <v>42</v>
      </c>
      <c r="C15" s="1068" t="s">
        <v>987</v>
      </c>
      <c r="D15" s="1068" t="s">
        <v>988</v>
      </c>
      <c r="E15" s="1068" t="s">
        <v>989</v>
      </c>
      <c r="F15" s="1068" t="s">
        <v>990</v>
      </c>
      <c r="H15" s="181" t="s">
        <v>41</v>
      </c>
      <c r="I15" s="182">
        <f>'MK Bases Model (Base Case)'!C17</f>
        <v>673694.10357142857</v>
      </c>
      <c r="L15" s="104" t="s">
        <v>994</v>
      </c>
      <c r="M15" s="918">
        <v>26.99</v>
      </c>
      <c r="N15" s="919">
        <f>(M15-M15)/M15</f>
        <v>0</v>
      </c>
      <c r="P15" s="1846"/>
      <c r="Q15" s="1846"/>
      <c r="R15" s="1846"/>
      <c r="S15" s="1846"/>
      <c r="T15" s="1846"/>
      <c r="U15" s="1846"/>
    </row>
    <row r="16" spans="2:21" x14ac:dyDescent="0.2">
      <c r="B16" t="s">
        <v>993</v>
      </c>
      <c r="C16" s="58">
        <f>'MK ACV'!D12</f>
        <v>0.29411764705882359</v>
      </c>
      <c r="D16" s="86">
        <f>(1-E16)*F16</f>
        <v>47.724999999999994</v>
      </c>
      <c r="E16" s="58">
        <v>0.5</v>
      </c>
      <c r="F16" s="86">
        <f>I7</f>
        <v>95.449999999999989</v>
      </c>
      <c r="H16" s="118" t="s">
        <v>42</v>
      </c>
      <c r="I16" s="183">
        <f>'MK Bases Model (Base Case)'!D17</f>
        <v>1325515.0044117649</v>
      </c>
      <c r="L16" s="104" t="s">
        <v>991</v>
      </c>
      <c r="M16" s="918">
        <v>29.99</v>
      </c>
      <c r="N16" s="919">
        <f>(M16-M15)/M15</f>
        <v>0.11115227862171174</v>
      </c>
      <c r="P16" s="1846"/>
      <c r="Q16" s="1846"/>
      <c r="R16" s="1846"/>
      <c r="S16" s="1846"/>
      <c r="T16" s="1846"/>
      <c r="U16" s="1846"/>
    </row>
    <row r="17" spans="2:21" x14ac:dyDescent="0.2">
      <c r="B17" t="s">
        <v>998</v>
      </c>
      <c r="C17" s="58">
        <f>'MK ACV'!D13</f>
        <v>0.70588235294117652</v>
      </c>
      <c r="D17" s="86">
        <f>(1-E17)*F17</f>
        <v>49.8</v>
      </c>
      <c r="E17" s="58">
        <v>0.4</v>
      </c>
      <c r="F17" s="86">
        <f>I8</f>
        <v>83</v>
      </c>
      <c r="H17" s="118" t="s">
        <v>43</v>
      </c>
      <c r="I17" s="183">
        <f>'MK Bases Model (Base Case)'!E17</f>
        <v>3292776.7905232785</v>
      </c>
      <c r="K17" s="56"/>
      <c r="L17" s="180" t="s">
        <v>1005</v>
      </c>
      <c r="M17" s="918">
        <v>32.99</v>
      </c>
      <c r="N17" s="919">
        <f>(M17-M15)/M15</f>
        <v>0.22230455724342363</v>
      </c>
      <c r="P17" s="1846"/>
      <c r="Q17" s="1846"/>
      <c r="R17" s="1846"/>
      <c r="S17" s="1846"/>
      <c r="T17" s="1846"/>
      <c r="U17" s="1846"/>
    </row>
    <row r="18" spans="2:21" x14ac:dyDescent="0.2">
      <c r="B18" t="s">
        <v>1001</v>
      </c>
      <c r="C18" s="176"/>
      <c r="D18" s="177"/>
      <c r="E18" s="178"/>
      <c r="F18" s="177"/>
      <c r="H18" s="118" t="s">
        <v>44</v>
      </c>
      <c r="I18" s="183">
        <f>'MK Bases Model (Base Case)'!F17</f>
        <v>5500174.8105354076</v>
      </c>
      <c r="K18" s="56"/>
      <c r="L18" s="104" t="s">
        <v>1002</v>
      </c>
      <c r="M18" s="918">
        <v>29.99</v>
      </c>
      <c r="N18" s="919">
        <f>(M18-M15)/M15</f>
        <v>0.11115227862171174</v>
      </c>
      <c r="P18" s="1846"/>
      <c r="Q18" s="1846"/>
      <c r="R18" s="1846"/>
      <c r="S18" s="1846"/>
      <c r="T18" s="1846"/>
      <c r="U18" s="1846"/>
    </row>
    <row r="19" spans="2:21" ht="16" thickBot="1" x14ac:dyDescent="0.25">
      <c r="B19" t="s">
        <v>1003</v>
      </c>
      <c r="C19" s="176"/>
      <c r="D19" s="177"/>
      <c r="E19" s="178"/>
      <c r="F19" s="177"/>
      <c r="H19" s="184" t="s">
        <v>45</v>
      </c>
      <c r="I19" s="185">
        <f>'MK Bases Model (Base Case)'!G17</f>
        <v>7536347.7720434312</v>
      </c>
      <c r="L19" s="104"/>
      <c r="M19" s="918"/>
      <c r="N19" s="822"/>
      <c r="P19" s="1846"/>
      <c r="Q19" s="1846"/>
      <c r="R19" s="1846"/>
      <c r="S19" s="1846"/>
      <c r="T19" s="1846"/>
      <c r="U19" s="1846"/>
    </row>
    <row r="20" spans="2:21" ht="48" customHeight="1" x14ac:dyDescent="0.2">
      <c r="B20" s="5" t="s">
        <v>1006</v>
      </c>
      <c r="D20" s="179">
        <f>(SUMPRODUCT(C16:C17,D16:D17))</f>
        <v>49.189705882352946</v>
      </c>
      <c r="F20" s="86"/>
      <c r="L20" s="927"/>
      <c r="M20" s="928" t="s">
        <v>1010</v>
      </c>
      <c r="N20" s="929" t="s">
        <v>996</v>
      </c>
      <c r="P20" s="1846"/>
      <c r="Q20" s="1846"/>
      <c r="R20" s="1846"/>
      <c r="S20" s="1846"/>
      <c r="T20" s="1846"/>
      <c r="U20" s="1846"/>
    </row>
    <row r="21" spans="2:21" x14ac:dyDescent="0.2">
      <c r="B21" s="5" t="s">
        <v>1007</v>
      </c>
      <c r="D21" s="86"/>
      <c r="F21" s="179">
        <f>SUMPRODUCT(C16:C17,F16:F17)</f>
        <v>86.661764705882362</v>
      </c>
      <c r="L21" s="104" t="s">
        <v>994</v>
      </c>
      <c r="M21" s="918">
        <v>19.989999999999998</v>
      </c>
      <c r="N21" s="919">
        <f>(M21-M21)/M21</f>
        <v>0</v>
      </c>
      <c r="P21" s="1846"/>
      <c r="Q21" s="1846"/>
      <c r="R21" s="1846"/>
      <c r="S21" s="1846"/>
      <c r="T21" s="1846"/>
      <c r="U21" s="1846"/>
    </row>
    <row r="22" spans="2:21" ht="16" thickBot="1" x14ac:dyDescent="0.25">
      <c r="B22" s="578"/>
      <c r="C22" s="578"/>
      <c r="D22" s="578"/>
      <c r="E22" s="578"/>
      <c r="F22" s="578"/>
      <c r="L22" s="104" t="s">
        <v>991</v>
      </c>
      <c r="M22" s="918">
        <v>29.99</v>
      </c>
      <c r="N22" s="919">
        <f>(M22-M21)/M21</f>
        <v>0.5002501250625313</v>
      </c>
    </row>
    <row r="23" spans="2:21" x14ac:dyDescent="0.2">
      <c r="B23" s="1068" t="s">
        <v>43</v>
      </c>
      <c r="C23" s="1068" t="s">
        <v>987</v>
      </c>
      <c r="D23" s="1068" t="s">
        <v>988</v>
      </c>
      <c r="E23" s="1068" t="s">
        <v>989</v>
      </c>
      <c r="F23" s="1068" t="s">
        <v>990</v>
      </c>
      <c r="L23" s="180" t="s">
        <v>1005</v>
      </c>
      <c r="M23" s="918">
        <v>24.99</v>
      </c>
      <c r="N23" s="919">
        <f>(M23-M21)/M21</f>
        <v>0.25012506253126565</v>
      </c>
      <c r="P23" s="1845" t="s">
        <v>1011</v>
      </c>
      <c r="Q23" s="1845"/>
      <c r="R23" s="1845"/>
      <c r="S23" s="1845"/>
      <c r="T23" s="1845"/>
      <c r="U23" s="1845"/>
    </row>
    <row r="24" spans="2:21" x14ac:dyDescent="0.2">
      <c r="B24" t="s">
        <v>993</v>
      </c>
      <c r="C24" s="58">
        <f>'MK ACV'!D17</f>
        <v>0.27272727272727271</v>
      </c>
      <c r="D24" s="86">
        <f>(1-E24)*F24</f>
        <v>47.724999999999994</v>
      </c>
      <c r="E24" s="58">
        <v>0.5</v>
      </c>
      <c r="F24" s="86">
        <f>I7</f>
        <v>95.449999999999989</v>
      </c>
      <c r="L24" s="104" t="s">
        <v>1002</v>
      </c>
      <c r="M24" s="918">
        <v>19.989999999999998</v>
      </c>
      <c r="N24" s="919">
        <f>(M24-M21)/M21</f>
        <v>0</v>
      </c>
      <c r="P24" s="1845"/>
      <c r="Q24" s="1845"/>
      <c r="R24" s="1845"/>
      <c r="S24" s="1845"/>
      <c r="T24" s="1845"/>
      <c r="U24" s="1845"/>
    </row>
    <row r="25" spans="2:21" x14ac:dyDescent="0.2">
      <c r="B25" t="s">
        <v>998</v>
      </c>
      <c r="C25" s="58">
        <f>'MK ACV'!D18</f>
        <v>0.54545454545454541</v>
      </c>
      <c r="D25" s="86">
        <f>(1-E25)*F25</f>
        <v>49.8</v>
      </c>
      <c r="E25" s="58">
        <v>0.4</v>
      </c>
      <c r="F25" s="86">
        <f>I8</f>
        <v>83</v>
      </c>
      <c r="L25" s="104"/>
      <c r="M25" s="918"/>
      <c r="N25" s="920"/>
      <c r="P25" s="1845"/>
      <c r="Q25" s="1845"/>
      <c r="R25" s="1845"/>
      <c r="S25" s="1845"/>
      <c r="T25" s="1845"/>
      <c r="U25" s="1845"/>
    </row>
    <row r="26" spans="2:21" ht="48" x14ac:dyDescent="0.2">
      <c r="B26" t="s">
        <v>1001</v>
      </c>
      <c r="C26" s="58">
        <f>'MK ACV'!D19</f>
        <v>0.18181818181818182</v>
      </c>
      <c r="D26" s="86">
        <f>E26*F26</f>
        <v>34.129876850707674</v>
      </c>
      <c r="E26" s="58">
        <v>0.45</v>
      </c>
      <c r="F26" s="86">
        <f>I9</f>
        <v>75.844170779350392</v>
      </c>
      <c r="L26" s="927"/>
      <c r="M26" s="928" t="s">
        <v>1012</v>
      </c>
      <c r="N26" s="929" t="s">
        <v>996</v>
      </c>
      <c r="P26" s="1845"/>
      <c r="Q26" s="1845"/>
      <c r="R26" s="1845"/>
      <c r="S26" s="1845"/>
      <c r="T26" s="1845"/>
      <c r="U26" s="1845"/>
    </row>
    <row r="27" spans="2:21" x14ac:dyDescent="0.2">
      <c r="B27" t="s">
        <v>1003</v>
      </c>
      <c r="C27" s="176"/>
      <c r="D27" s="177"/>
      <c r="E27" s="178"/>
      <c r="F27" s="177"/>
      <c r="L27" s="104" t="s">
        <v>994</v>
      </c>
      <c r="M27" s="918">
        <v>31.27</v>
      </c>
      <c r="N27" s="919">
        <f>(M27-M27)/M27</f>
        <v>0</v>
      </c>
      <c r="P27" s="1845"/>
      <c r="Q27" s="1845"/>
      <c r="R27" s="1845"/>
      <c r="S27" s="1845"/>
      <c r="T27" s="1845"/>
      <c r="U27" s="1845"/>
    </row>
    <row r="28" spans="2:21" ht="16" x14ac:dyDescent="0.2">
      <c r="B28" s="5" t="s">
        <v>1006</v>
      </c>
      <c r="D28" s="179">
        <f>SUMPRODUCT(C24:C26,D24:D26)</f>
        <v>46.384977609219568</v>
      </c>
      <c r="F28" s="86"/>
      <c r="L28" s="104" t="s">
        <v>991</v>
      </c>
      <c r="M28" s="918" t="s">
        <v>1013</v>
      </c>
      <c r="N28" s="919" t="s">
        <v>1013</v>
      </c>
      <c r="P28" s="1845"/>
      <c r="Q28" s="1845"/>
      <c r="R28" s="1845"/>
      <c r="S28" s="1845"/>
      <c r="T28" s="1845"/>
      <c r="U28" s="1845"/>
    </row>
    <row r="29" spans="2:21" x14ac:dyDescent="0.2">
      <c r="B29" s="5" t="s">
        <v>1007</v>
      </c>
      <c r="D29" s="86"/>
      <c r="F29" s="179">
        <f>SUMPRODUCT(C24:C26,F24:F26)</f>
        <v>85.094394687154605</v>
      </c>
      <c r="L29" s="180" t="s">
        <v>1005</v>
      </c>
      <c r="M29" s="918">
        <v>52.99</v>
      </c>
      <c r="N29" s="919">
        <f>(M29-M27)/M27</f>
        <v>0.69459545890630003</v>
      </c>
      <c r="P29" s="1845"/>
      <c r="Q29" s="1845"/>
      <c r="R29" s="1845"/>
      <c r="S29" s="1845"/>
      <c r="T29" s="1845"/>
      <c r="U29" s="1845"/>
    </row>
    <row r="30" spans="2:21" x14ac:dyDescent="0.2">
      <c r="K30" s="56"/>
      <c r="L30" s="123" t="s">
        <v>1002</v>
      </c>
      <c r="M30" s="921">
        <v>53</v>
      </c>
      <c r="N30" s="922">
        <f>(M30-M27)/M27</f>
        <v>0.69491525423728817</v>
      </c>
      <c r="P30" s="1845"/>
      <c r="Q30" s="1845"/>
      <c r="R30" s="1845"/>
      <c r="S30" s="1845"/>
      <c r="T30" s="1845"/>
      <c r="U30" s="1845"/>
    </row>
    <row r="31" spans="2:21" ht="16" thickBot="1" x14ac:dyDescent="0.25">
      <c r="B31" s="578"/>
      <c r="C31" s="578"/>
      <c r="D31" s="578"/>
      <c r="E31" s="578"/>
      <c r="F31" s="578"/>
      <c r="P31" s="1845"/>
      <c r="Q31" s="1845"/>
      <c r="R31" s="1845"/>
      <c r="S31" s="1845"/>
      <c r="T31" s="1845"/>
      <c r="U31" s="1845"/>
    </row>
    <row r="32" spans="2:21" ht="16" x14ac:dyDescent="0.2">
      <c r="B32" s="1068" t="s">
        <v>44</v>
      </c>
      <c r="C32" s="1068" t="s">
        <v>987</v>
      </c>
      <c r="D32" s="1068" t="s">
        <v>988</v>
      </c>
      <c r="E32" s="1068" t="s">
        <v>989</v>
      </c>
      <c r="F32" s="1068" t="s">
        <v>990</v>
      </c>
      <c r="L32" s="115"/>
      <c r="M32" s="115"/>
      <c r="N32" s="174" t="s">
        <v>1014</v>
      </c>
      <c r="O32" s="174" t="s">
        <v>1015</v>
      </c>
      <c r="P32" s="1845"/>
      <c r="Q32" s="1845"/>
      <c r="R32" s="1845"/>
      <c r="S32" s="1845"/>
      <c r="T32" s="1845"/>
      <c r="U32" s="1845"/>
    </row>
    <row r="33" spans="2:15" x14ac:dyDescent="0.2">
      <c r="B33" t="s">
        <v>993</v>
      </c>
      <c r="C33" s="58">
        <f>'MK ACV'!D22</f>
        <v>0</v>
      </c>
      <c r="D33" s="86">
        <f>(1-E33)*F33</f>
        <v>47.724999999999994</v>
      </c>
      <c r="E33" s="58">
        <v>0.5</v>
      </c>
      <c r="F33" s="86">
        <f>I7</f>
        <v>95.449999999999989</v>
      </c>
      <c r="L33" s="115" t="s">
        <v>1016</v>
      </c>
      <c r="M33" s="116">
        <f>AVERAGE(N16,N22)</f>
        <v>0.30570120184212152</v>
      </c>
      <c r="N33" s="175">
        <v>0.15</v>
      </c>
      <c r="O33" s="116">
        <f>M33-N33</f>
        <v>0.15570120184212152</v>
      </c>
    </row>
    <row r="34" spans="2:15" x14ac:dyDescent="0.2">
      <c r="B34" t="s">
        <v>998</v>
      </c>
      <c r="C34" s="58">
        <f>'MK ACV'!D23</f>
        <v>0.44444444444444442</v>
      </c>
      <c r="D34" s="86">
        <f>(1-E34)*F34</f>
        <v>49.8</v>
      </c>
      <c r="E34" s="58">
        <v>0.4</v>
      </c>
      <c r="F34" s="86">
        <f>I8</f>
        <v>83</v>
      </c>
      <c r="L34" s="115" t="s">
        <v>1017</v>
      </c>
      <c r="M34" s="116">
        <f>AVERAGE(N17,N23)</f>
        <v>0.23621480988734464</v>
      </c>
      <c r="N34" s="175">
        <v>0.15</v>
      </c>
      <c r="O34" s="116">
        <f>M34-N34</f>
        <v>8.6214809887344646E-2</v>
      </c>
    </row>
    <row r="35" spans="2:15" x14ac:dyDescent="0.2">
      <c r="B35" t="s">
        <v>1001</v>
      </c>
      <c r="C35" s="58">
        <f>'MK ACV'!D24</f>
        <v>0.22222222222222221</v>
      </c>
      <c r="D35" s="86">
        <f>(1-E35)*F35</f>
        <v>41.714293928642718</v>
      </c>
      <c r="E35" s="58">
        <v>0.45</v>
      </c>
      <c r="F35" s="86">
        <f>I9</f>
        <v>75.844170779350392</v>
      </c>
      <c r="L35" s="115" t="s">
        <v>1018</v>
      </c>
      <c r="M35" s="116">
        <f>AVERAGE(N18,N24,N30)</f>
        <v>0.26868917761966665</v>
      </c>
      <c r="N35" s="175">
        <v>0.17499999999999999</v>
      </c>
      <c r="O35" s="116">
        <f>M35-N35</f>
        <v>9.3689177619666664E-2</v>
      </c>
    </row>
    <row r="36" spans="2:15" x14ac:dyDescent="0.2">
      <c r="B36" t="s">
        <v>1003</v>
      </c>
      <c r="C36" s="58">
        <f>'MK ACV'!D25</f>
        <v>0.33333333333333331</v>
      </c>
      <c r="D36" s="86">
        <f>(1-E36)*F36</f>
        <v>41.243035675072498</v>
      </c>
      <c r="E36" s="58">
        <v>0.4</v>
      </c>
      <c r="F36" s="86">
        <f>I10</f>
        <v>68.738392791787504</v>
      </c>
    </row>
    <row r="37" spans="2:15" x14ac:dyDescent="0.2">
      <c r="B37" s="5" t="s">
        <v>1006</v>
      </c>
      <c r="D37" s="179">
        <f>C33*D33+C34*D34+C35*D35+C36*D36</f>
        <v>45.150854986944765</v>
      </c>
    </row>
    <row r="38" spans="2:15" x14ac:dyDescent="0.2">
      <c r="B38" s="5" t="s">
        <v>1007</v>
      </c>
      <c r="F38" s="179">
        <f>SUMPRODUCT(C33:C36,F33:F36)</f>
        <v>76.655946659340358</v>
      </c>
    </row>
    <row r="39" spans="2:15" ht="16" thickBot="1" x14ac:dyDescent="0.25">
      <c r="B39" s="578"/>
      <c r="C39" s="578"/>
      <c r="D39" s="578"/>
      <c r="E39" s="578"/>
      <c r="F39" s="578"/>
    </row>
    <row r="40" spans="2:15" x14ac:dyDescent="0.2">
      <c r="B40" s="1068" t="s">
        <v>45</v>
      </c>
      <c r="C40" s="1068" t="s">
        <v>987</v>
      </c>
      <c r="D40" s="1068" t="s">
        <v>988</v>
      </c>
      <c r="E40" s="1068" t="s">
        <v>989</v>
      </c>
      <c r="F40" s="1068" t="s">
        <v>990</v>
      </c>
    </row>
    <row r="41" spans="2:15" x14ac:dyDescent="0.2">
      <c r="B41" t="s">
        <v>993</v>
      </c>
      <c r="C41" s="58">
        <f>'MK ACV'!D28</f>
        <v>0</v>
      </c>
      <c r="D41" s="86">
        <f>(1-E41)*F41</f>
        <v>47.724999999999994</v>
      </c>
      <c r="E41" s="58">
        <v>0.5</v>
      </c>
      <c r="F41" s="86">
        <f>I7</f>
        <v>95.449999999999989</v>
      </c>
      <c r="M41" s="64"/>
    </row>
    <row r="42" spans="2:15" x14ac:dyDescent="0.2">
      <c r="B42" t="s">
        <v>998</v>
      </c>
      <c r="C42" s="58">
        <f>'MK ACV'!D29</f>
        <v>0.36363636363636359</v>
      </c>
      <c r="D42" s="86">
        <f>(1-E42)*F42</f>
        <v>49.8</v>
      </c>
      <c r="E42" s="58">
        <v>0.4</v>
      </c>
      <c r="F42" s="86">
        <f>I8</f>
        <v>83</v>
      </c>
    </row>
    <row r="43" spans="2:15" x14ac:dyDescent="0.2">
      <c r="B43" t="s">
        <v>1001</v>
      </c>
      <c r="C43" s="58">
        <f>'MK ACV'!D30</f>
        <v>0.21212121212121213</v>
      </c>
      <c r="D43" s="86">
        <f>(1-E43)*F43</f>
        <v>41.714293928642718</v>
      </c>
      <c r="E43" s="58">
        <v>0.45</v>
      </c>
      <c r="F43" s="86">
        <f>I9</f>
        <v>75.844170779350392</v>
      </c>
    </row>
    <row r="44" spans="2:15" x14ac:dyDescent="0.2">
      <c r="B44" t="s">
        <v>1003</v>
      </c>
      <c r="C44" s="58">
        <f>'MK ACV'!D31</f>
        <v>0.42424242424242425</v>
      </c>
      <c r="D44" s="86">
        <f>(1-E44)*F44</f>
        <v>41.243035675072498</v>
      </c>
      <c r="E44" s="58">
        <v>0.4</v>
      </c>
      <c r="F44" s="86">
        <f>I10</f>
        <v>68.738392791787504</v>
      </c>
    </row>
    <row r="45" spans="2:15" x14ac:dyDescent="0.2">
      <c r="B45" s="5" t="s">
        <v>1019</v>
      </c>
      <c r="D45" s="186">
        <f>SUMPRODUCT(C41:C44,D41:D44)</f>
        <v>44.454622937924668</v>
      </c>
      <c r="I45" s="215"/>
    </row>
    <row r="46" spans="2:15" x14ac:dyDescent="0.2">
      <c r="B46" s="5" t="s">
        <v>1007</v>
      </c>
      <c r="C46" s="21"/>
      <c r="F46" s="186">
        <f>SUMPRODUCT(C41:C44,F41:F44)</f>
        <v>75.431718016378113</v>
      </c>
      <c r="I46" s="215"/>
    </row>
    <row r="47" spans="2:15" x14ac:dyDescent="0.2">
      <c r="I47" s="215"/>
    </row>
    <row r="48" spans="2:15" x14ac:dyDescent="0.2">
      <c r="I48" s="215"/>
    </row>
    <row r="49" spans="2:9" x14ac:dyDescent="0.2">
      <c r="I49" s="215"/>
    </row>
    <row r="59" spans="2:9" x14ac:dyDescent="0.2">
      <c r="C59" s="20"/>
      <c r="D59" s="119"/>
    </row>
    <row r="60" spans="2:9" x14ac:dyDescent="0.2">
      <c r="C60" s="20"/>
      <c r="D60" s="119"/>
    </row>
    <row r="61" spans="2:9" x14ac:dyDescent="0.2">
      <c r="B61" s="19"/>
      <c r="C61" s="20"/>
      <c r="D61" s="119"/>
    </row>
    <row r="62" spans="2:9" x14ac:dyDescent="0.2">
      <c r="C62" s="20"/>
      <c r="D62" s="119"/>
    </row>
  </sheetData>
  <mergeCells count="10">
    <mergeCell ref="P23:U32"/>
    <mergeCell ref="P9:U21"/>
    <mergeCell ref="B3:U3"/>
    <mergeCell ref="B6:F6"/>
    <mergeCell ref="H11:I11"/>
    <mergeCell ref="H14:I14"/>
    <mergeCell ref="H6:I6"/>
    <mergeCell ref="H5:J5"/>
    <mergeCell ref="L7:N7"/>
    <mergeCell ref="L6:N6"/>
  </mergeCells>
  <hyperlinks>
    <hyperlink ref="B1" location="Index!A1" display="Back to Index" xr:uid="{3D97A7BE-4C0A-4D41-831D-2FB3A5FB758B}"/>
  </hyperlinks>
  <pageMargins left="0.7" right="0.7" top="0.75" bottom="0.75" header="0.3" footer="0.3"/>
  <pageSetup orientation="portrait" horizontalDpi="0" verticalDpi="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F0991-0EF9-144C-A7B3-5669CADA4E94}">
  <sheetPr published="0">
    <tabColor rgb="FF00B0F0"/>
  </sheetPr>
  <dimension ref="B1:AR206"/>
  <sheetViews>
    <sheetView showGridLines="0" tabSelected="1" topLeftCell="A56" zoomScale="75" zoomScaleNormal="55" workbookViewId="0">
      <selection activeCell="K80" sqref="K80"/>
    </sheetView>
  </sheetViews>
  <sheetFormatPr baseColWidth="10" defaultColWidth="11.5" defaultRowHeight="15" x14ac:dyDescent="0.2"/>
  <cols>
    <col min="1" max="1" width="1.83203125" customWidth="1"/>
    <col min="2" max="2" width="40.5" customWidth="1"/>
    <col min="3" max="3" width="25.1640625" customWidth="1"/>
    <col min="4" max="4" width="15" bestFit="1" customWidth="1"/>
    <col min="5" max="5" width="13.33203125" customWidth="1"/>
    <col min="6" max="6" width="19.6640625" bestFit="1" customWidth="1"/>
    <col min="7" max="7" width="18.33203125" bestFit="1" customWidth="1"/>
    <col min="8" max="8" width="20.1640625" customWidth="1"/>
    <col min="9" max="9" width="15" bestFit="1" customWidth="1"/>
    <col min="10" max="10" width="16.1640625" customWidth="1"/>
    <col min="11" max="12" width="15" bestFit="1" customWidth="1"/>
    <col min="13" max="13" width="10" bestFit="1" customWidth="1"/>
    <col min="14" max="14" width="36.5" customWidth="1"/>
    <col min="15" max="15" width="14.33203125" bestFit="1" customWidth="1"/>
    <col min="16" max="16" width="13.5" bestFit="1" customWidth="1"/>
    <col min="17" max="17" width="12.5" bestFit="1" customWidth="1"/>
    <col min="18" max="18" width="14.5" bestFit="1" customWidth="1"/>
    <col min="19" max="19" width="48.6640625" customWidth="1"/>
    <col min="22" max="24" width="16.33203125" customWidth="1"/>
  </cols>
  <sheetData>
    <row r="1" spans="2:20" x14ac:dyDescent="0.2">
      <c r="B1" s="56" t="s">
        <v>37</v>
      </c>
    </row>
    <row r="3" spans="2:20" x14ac:dyDescent="0.2">
      <c r="B3" s="1818" t="s">
        <v>30</v>
      </c>
      <c r="C3" s="1818"/>
      <c r="D3" s="1818"/>
      <c r="E3" s="1818"/>
      <c r="F3" s="1818"/>
      <c r="G3" s="1818"/>
      <c r="H3" s="1818"/>
      <c r="I3" s="1818"/>
      <c r="J3" s="1818"/>
      <c r="K3" s="1818"/>
      <c r="L3" s="1818"/>
      <c r="M3" s="1818"/>
      <c r="N3" s="1818"/>
      <c r="O3" s="1818"/>
      <c r="P3" s="1818"/>
      <c r="Q3" s="1818"/>
      <c r="R3" s="1818"/>
      <c r="S3" s="1818"/>
      <c r="T3" s="1818"/>
    </row>
    <row r="5" spans="2:20" ht="15" customHeight="1" x14ac:dyDescent="0.2">
      <c r="B5" s="56"/>
      <c r="C5" s="1854" t="s">
        <v>1020</v>
      </c>
      <c r="D5" s="1854"/>
      <c r="E5" s="1854"/>
      <c r="F5" s="1854"/>
      <c r="G5" s="1854"/>
      <c r="H5" s="1854"/>
      <c r="I5" s="1854"/>
    </row>
    <row r="6" spans="2:20" ht="79" customHeight="1" x14ac:dyDescent="0.2">
      <c r="C6" s="1855"/>
      <c r="D6" s="1855"/>
      <c r="E6" s="1855"/>
      <c r="F6" s="1855"/>
      <c r="G6" s="1855"/>
      <c r="H6" s="1855"/>
      <c r="I6" s="1855"/>
    </row>
    <row r="7" spans="2:20" ht="34" thickBot="1" x14ac:dyDescent="0.3">
      <c r="C7" s="844" t="s">
        <v>1021</v>
      </c>
      <c r="D7" s="830" t="s">
        <v>1022</v>
      </c>
      <c r="E7" s="830"/>
      <c r="F7" s="830"/>
      <c r="G7" s="830"/>
      <c r="H7" s="830"/>
      <c r="I7" s="831"/>
      <c r="K7" s="649" t="s">
        <v>1023</v>
      </c>
      <c r="L7" s="52"/>
      <c r="N7" s="172"/>
      <c r="O7" s="172"/>
      <c r="P7" s="645" t="s">
        <v>1024</v>
      </c>
    </row>
    <row r="8" spans="2:20" ht="32" x14ac:dyDescent="0.2">
      <c r="C8" s="834" t="s">
        <v>1025</v>
      </c>
      <c r="D8" s="722" t="s">
        <v>1026</v>
      </c>
      <c r="E8" s="832" t="s">
        <v>1027</v>
      </c>
      <c r="F8" s="722" t="s">
        <v>1028</v>
      </c>
      <c r="G8" s="832" t="s">
        <v>1029</v>
      </c>
      <c r="H8" s="722" t="s">
        <v>1030</v>
      </c>
      <c r="I8" s="833" t="s">
        <v>1031</v>
      </c>
      <c r="K8" s="826" t="s">
        <v>1029</v>
      </c>
      <c r="L8" s="828" t="s">
        <v>1030</v>
      </c>
      <c r="N8" s="86"/>
      <c r="O8" s="64"/>
      <c r="P8" s="1708" t="s">
        <v>1032</v>
      </c>
      <c r="Q8" s="1709"/>
      <c r="R8" s="1709"/>
      <c r="S8" s="1709"/>
      <c r="T8" s="1710"/>
    </row>
    <row r="9" spans="2:20" ht="32" x14ac:dyDescent="0.2">
      <c r="C9" s="823">
        <v>72.5</v>
      </c>
      <c r="D9" s="536">
        <v>7</v>
      </c>
      <c r="E9">
        <v>12</v>
      </c>
      <c r="F9" s="536">
        <v>15</v>
      </c>
      <c r="G9">
        <v>25</v>
      </c>
      <c r="H9" s="536">
        <v>4</v>
      </c>
      <c r="I9" s="106">
        <v>63</v>
      </c>
      <c r="K9" s="104">
        <v>25</v>
      </c>
      <c r="L9" s="106">
        <v>4</v>
      </c>
      <c r="N9" s="86"/>
      <c r="O9" s="64"/>
      <c r="P9" s="1711"/>
      <c r="Q9" s="1712" t="s">
        <v>1033</v>
      </c>
      <c r="R9" s="1712" t="s">
        <v>1034</v>
      </c>
      <c r="S9" s="1712" t="s">
        <v>1035</v>
      </c>
      <c r="T9" s="1713" t="s">
        <v>1036</v>
      </c>
    </row>
    <row r="10" spans="2:20" ht="32" x14ac:dyDescent="0.2">
      <c r="C10" s="823">
        <v>95.5</v>
      </c>
      <c r="D10" s="536">
        <v>2</v>
      </c>
      <c r="E10">
        <v>4</v>
      </c>
      <c r="F10" s="536">
        <v>11</v>
      </c>
      <c r="G10">
        <v>18</v>
      </c>
      <c r="H10" s="536">
        <v>2</v>
      </c>
      <c r="I10" s="106">
        <v>37</v>
      </c>
      <c r="K10" s="104">
        <v>18</v>
      </c>
      <c r="L10" s="106">
        <v>2</v>
      </c>
      <c r="N10" s="86"/>
      <c r="O10" s="64"/>
      <c r="P10" s="906" t="s">
        <v>1037</v>
      </c>
      <c r="Q10" s="909">
        <v>18</v>
      </c>
      <c r="R10" s="910">
        <f>Q10/57</f>
        <v>0.31578947368421051</v>
      </c>
      <c r="S10" s="911">
        <v>2.5000000000000001E-2</v>
      </c>
      <c r="T10" s="912">
        <f>R10*S10</f>
        <v>7.8947368421052634E-3</v>
      </c>
    </row>
    <row r="11" spans="2:20" ht="18" customHeight="1" x14ac:dyDescent="0.2">
      <c r="C11" s="823">
        <v>118.5</v>
      </c>
      <c r="D11" s="536">
        <v>1</v>
      </c>
      <c r="E11">
        <v>3</v>
      </c>
      <c r="F11" s="536">
        <v>2</v>
      </c>
      <c r="G11">
        <v>10</v>
      </c>
      <c r="H11" s="536"/>
      <c r="I11" s="106">
        <v>16</v>
      </c>
      <c r="K11" s="104">
        <v>10</v>
      </c>
      <c r="L11" s="106"/>
      <c r="N11" s="86"/>
      <c r="O11" s="64"/>
      <c r="P11" s="906" t="s">
        <v>1038</v>
      </c>
      <c r="Q11">
        <v>8</v>
      </c>
      <c r="R11" s="910">
        <f>Q11/57</f>
        <v>0.14035087719298245</v>
      </c>
      <c r="S11" s="64">
        <v>1.4999999999999999E-2</v>
      </c>
      <c r="T11" s="912">
        <f>R11*S11</f>
        <v>2.1052631578947368E-3</v>
      </c>
    </row>
    <row r="12" spans="2:20" ht="16" x14ac:dyDescent="0.2">
      <c r="C12" s="823">
        <v>141.5</v>
      </c>
      <c r="D12" s="536"/>
      <c r="F12" s="536"/>
      <c r="G12">
        <v>2</v>
      </c>
      <c r="H12" s="536">
        <v>1</v>
      </c>
      <c r="I12" s="106">
        <v>3</v>
      </c>
      <c r="K12" s="104">
        <v>2</v>
      </c>
      <c r="L12" s="106">
        <v>1</v>
      </c>
      <c r="N12" s="86"/>
      <c r="O12" s="64"/>
      <c r="P12" s="906" t="s">
        <v>1039</v>
      </c>
      <c r="Q12">
        <v>10</v>
      </c>
      <c r="R12" s="910">
        <f>Q12/57</f>
        <v>0.17543859649122806</v>
      </c>
      <c r="S12">
        <v>0</v>
      </c>
      <c r="T12" s="914">
        <f>R12*S12</f>
        <v>0</v>
      </c>
    </row>
    <row r="13" spans="2:20" x14ac:dyDescent="0.2">
      <c r="C13" s="823">
        <v>164.5</v>
      </c>
      <c r="D13" s="536"/>
      <c r="F13" s="536"/>
      <c r="H13" s="536">
        <v>3</v>
      </c>
      <c r="I13" s="106">
        <v>3</v>
      </c>
      <c r="K13" s="104"/>
      <c r="L13" s="106">
        <v>3</v>
      </c>
      <c r="N13" s="86"/>
      <c r="O13" s="64"/>
      <c r="P13" s="915"/>
      <c r="Q13" s="827"/>
      <c r="R13" s="827"/>
      <c r="S13" s="827"/>
      <c r="T13" s="916">
        <f>T10+T11+T12</f>
        <v>0.01</v>
      </c>
    </row>
    <row r="14" spans="2:20" x14ac:dyDescent="0.2">
      <c r="C14" s="826" t="s">
        <v>1031</v>
      </c>
      <c r="D14" s="719">
        <v>10</v>
      </c>
      <c r="E14" s="827">
        <v>19</v>
      </c>
      <c r="F14" s="719">
        <v>28</v>
      </c>
      <c r="G14" s="827">
        <v>55</v>
      </c>
      <c r="H14" s="719">
        <v>10</v>
      </c>
      <c r="I14" s="828">
        <v>122</v>
      </c>
      <c r="J14" s="96"/>
      <c r="K14" s="826">
        <v>55</v>
      </c>
      <c r="L14" s="828">
        <v>10</v>
      </c>
      <c r="P14" s="904"/>
      <c r="T14" s="905"/>
    </row>
    <row r="15" spans="2:20" ht="16" thickBot="1" x14ac:dyDescent="0.25">
      <c r="H15" s="120" t="s">
        <v>1040</v>
      </c>
      <c r="I15" s="105">
        <v>122</v>
      </c>
      <c r="P15" s="904"/>
      <c r="T15" s="904"/>
    </row>
    <row r="16" spans="2:20" x14ac:dyDescent="0.2">
      <c r="H16" s="123" t="s">
        <v>1041</v>
      </c>
      <c r="I16" s="829">
        <f>'MK Assumptions'!D6</f>
        <v>8384991.9999999991</v>
      </c>
      <c r="K16" s="172"/>
      <c r="P16" s="1714" t="s">
        <v>1042</v>
      </c>
      <c r="Q16" s="1715"/>
      <c r="R16" s="1715"/>
      <c r="S16" s="1715"/>
      <c r="T16" s="1716"/>
    </row>
    <row r="17" spans="3:44" ht="32" x14ac:dyDescent="0.2">
      <c r="L17" s="113"/>
      <c r="M17" s="5" t="s">
        <v>1043</v>
      </c>
      <c r="O17" s="172"/>
      <c r="P17" s="906"/>
      <c r="Q17" s="907" t="s">
        <v>1033</v>
      </c>
      <c r="R17" s="907" t="s">
        <v>1034</v>
      </c>
      <c r="S17" s="907" t="s">
        <v>1035</v>
      </c>
      <c r="T17" s="908" t="s">
        <v>1036</v>
      </c>
    </row>
    <row r="18" spans="3:44" ht="32" x14ac:dyDescent="0.2">
      <c r="C18" s="826" t="s">
        <v>1044</v>
      </c>
      <c r="D18" s="827" t="s">
        <v>1045</v>
      </c>
      <c r="E18" s="827" t="s">
        <v>1046</v>
      </c>
      <c r="F18" s="827" t="s">
        <v>1047</v>
      </c>
      <c r="G18" s="839" t="s">
        <v>1048</v>
      </c>
      <c r="H18" s="839" t="s">
        <v>1049</v>
      </c>
      <c r="I18" s="839" t="s">
        <v>1050</v>
      </c>
      <c r="J18" s="840" t="s">
        <v>486</v>
      </c>
      <c r="K18" s="841" t="s">
        <v>266</v>
      </c>
      <c r="L18" s="113"/>
      <c r="M18" s="719" t="s">
        <v>1044</v>
      </c>
      <c r="N18" s="843" t="s">
        <v>1050</v>
      </c>
      <c r="O18" s="86"/>
      <c r="P18" s="906" t="s">
        <v>1037</v>
      </c>
      <c r="Q18" s="909">
        <v>9</v>
      </c>
      <c r="R18" s="910">
        <f>Q18/238</f>
        <v>3.7815126050420166E-2</v>
      </c>
      <c r="S18" s="911">
        <v>2.5000000000000001E-2</v>
      </c>
      <c r="T18" s="912">
        <f>R18*S18</f>
        <v>9.453781512605042E-4</v>
      </c>
    </row>
    <row r="19" spans="3:44" ht="32" x14ac:dyDescent="0.2">
      <c r="C19" s="823">
        <v>72.5</v>
      </c>
      <c r="D19" s="496">
        <f t="shared" ref="D19:E23" si="0">K9/$I$15</f>
        <v>0.20491803278688525</v>
      </c>
      <c r="E19" s="496">
        <f t="shared" si="0"/>
        <v>3.2786885245901641E-2</v>
      </c>
      <c r="F19" s="496">
        <f>D19*0.3</f>
        <v>6.1475409836065573E-2</v>
      </c>
      <c r="G19" s="64">
        <f>E19*0.8</f>
        <v>2.6229508196721315E-2</v>
      </c>
      <c r="H19" s="64">
        <f>SUM(F19:G19)</f>
        <v>8.7704918032786891E-2</v>
      </c>
      <c r="I19" s="64">
        <f>SUM(H19:H23)</f>
        <v>0.20081967213114754</v>
      </c>
      <c r="J19" s="97">
        <f>I19*$I$16</f>
        <v>1683871.3442622949</v>
      </c>
      <c r="K19" s="835">
        <f>J19*C19</f>
        <v>122080672.45901638</v>
      </c>
      <c r="L19" s="113"/>
      <c r="M19" s="824">
        <v>72.5</v>
      </c>
      <c r="N19" s="842">
        <v>0.20081967213114754</v>
      </c>
      <c r="P19" s="906" t="s">
        <v>1038</v>
      </c>
      <c r="Q19">
        <v>14</v>
      </c>
      <c r="R19" s="910">
        <f>Q19/238</f>
        <v>5.8823529411764705E-2</v>
      </c>
      <c r="S19" s="64">
        <v>1.4999999999999999E-2</v>
      </c>
      <c r="T19" s="912">
        <f>R19*S19</f>
        <v>8.8235294117647051E-4</v>
      </c>
    </row>
    <row r="20" spans="3:44" ht="16" x14ac:dyDescent="0.2">
      <c r="C20" s="823">
        <v>95.5</v>
      </c>
      <c r="D20" s="496">
        <f t="shared" si="0"/>
        <v>0.14754098360655737</v>
      </c>
      <c r="E20" s="496">
        <f t="shared" si="0"/>
        <v>1.6393442622950821E-2</v>
      </c>
      <c r="F20" s="496">
        <f>D20*0.3</f>
        <v>4.4262295081967211E-2</v>
      </c>
      <c r="G20" s="64">
        <f>E20*0.8</f>
        <v>1.3114754098360657E-2</v>
      </c>
      <c r="H20" s="64">
        <f>SUM(F20:G20)</f>
        <v>5.737704918032787E-2</v>
      </c>
      <c r="I20" s="64">
        <f>SUM(H20:H23)</f>
        <v>0.11311475409836065</v>
      </c>
      <c r="J20" s="97">
        <f>I20*$I$16</f>
        <v>948466.30819672113</v>
      </c>
      <c r="K20" s="835">
        <f>J20*C20</f>
        <v>90578532.432786867</v>
      </c>
      <c r="L20" s="113"/>
      <c r="M20" s="824">
        <v>95.5</v>
      </c>
      <c r="N20" s="842">
        <v>0.11311475409836065</v>
      </c>
      <c r="P20" s="906" t="s">
        <v>1039</v>
      </c>
      <c r="Q20">
        <v>13</v>
      </c>
      <c r="R20" s="910">
        <f>Q20/238</f>
        <v>5.4621848739495799E-2</v>
      </c>
      <c r="S20">
        <v>0</v>
      </c>
      <c r="T20" s="914">
        <f>R20*S20</f>
        <v>0</v>
      </c>
    </row>
    <row r="21" spans="3:44" x14ac:dyDescent="0.2">
      <c r="C21" s="823">
        <v>118.5</v>
      </c>
      <c r="D21" s="496">
        <f t="shared" si="0"/>
        <v>8.1967213114754092E-2</v>
      </c>
      <c r="E21" s="496">
        <f t="shared" si="0"/>
        <v>0</v>
      </c>
      <c r="F21" s="496">
        <f>D21*0.3</f>
        <v>2.4590163934426226E-2</v>
      </c>
      <c r="G21" s="64">
        <f>E21*0.8</f>
        <v>0</v>
      </c>
      <c r="H21" s="64">
        <f>SUM(F21:G21)</f>
        <v>2.4590163934426226E-2</v>
      </c>
      <c r="I21" s="64">
        <f>SUM(H21:H23)</f>
        <v>5.5737704918032788E-2</v>
      </c>
      <c r="J21" s="97">
        <f>I21*$I$16</f>
        <v>467360.20983606554</v>
      </c>
      <c r="K21" s="835">
        <f>J21*C21</f>
        <v>55382184.865573764</v>
      </c>
      <c r="L21" s="113"/>
      <c r="M21" s="824">
        <v>118.5</v>
      </c>
      <c r="N21" s="842">
        <v>5.5737704918032788E-2</v>
      </c>
      <c r="P21" s="915"/>
      <c r="Q21" s="827"/>
      <c r="R21" s="827"/>
      <c r="S21" s="827"/>
      <c r="T21" s="916">
        <f>T18+T19</f>
        <v>1.8277310924369747E-3</v>
      </c>
    </row>
    <row r="22" spans="3:44" x14ac:dyDescent="0.2">
      <c r="C22" s="823">
        <v>141.5</v>
      </c>
      <c r="D22" s="496">
        <f t="shared" si="0"/>
        <v>1.6393442622950821E-2</v>
      </c>
      <c r="E22" s="496">
        <f t="shared" si="0"/>
        <v>8.1967213114754103E-3</v>
      </c>
      <c r="F22" s="496">
        <f>D22*0.3</f>
        <v>4.9180327868852463E-3</v>
      </c>
      <c r="G22" s="64">
        <f>E22*0.8</f>
        <v>6.5573770491803287E-3</v>
      </c>
      <c r="H22" s="64">
        <f>SUM(F22:G22)</f>
        <v>1.1475409836065575E-2</v>
      </c>
      <c r="I22" s="64">
        <f>SUM(H22:H23)</f>
        <v>3.1147540983606559E-2</v>
      </c>
      <c r="J22" s="97">
        <f>I22*$I$16</f>
        <v>261171.88196721309</v>
      </c>
      <c r="K22" s="835">
        <f>J22*C22</f>
        <v>36955821.298360653</v>
      </c>
      <c r="L22" s="113"/>
      <c r="M22" s="824">
        <v>141.5</v>
      </c>
      <c r="N22" s="842">
        <v>3.1147540983606559E-2</v>
      </c>
      <c r="S22" s="5" t="s">
        <v>1051</v>
      </c>
      <c r="T22" s="913">
        <f>T13+T21</f>
        <v>1.1827731092436976E-2</v>
      </c>
    </row>
    <row r="23" spans="3:44" x14ac:dyDescent="0.2">
      <c r="C23" s="836">
        <v>164.5</v>
      </c>
      <c r="D23" s="837">
        <f t="shared" si="0"/>
        <v>0</v>
      </c>
      <c r="E23" s="837">
        <f t="shared" si="0"/>
        <v>2.4590163934426229E-2</v>
      </c>
      <c r="F23" s="837">
        <f>D23*0.3</f>
        <v>0</v>
      </c>
      <c r="G23" s="114">
        <f>E23*0.8</f>
        <v>1.9672131147540985E-2</v>
      </c>
      <c r="H23" s="114">
        <f>SUM(F23:G23)</f>
        <v>1.9672131147540985E-2</v>
      </c>
      <c r="I23" s="114">
        <f>SUM(H23)</f>
        <v>1.9672131147540985E-2</v>
      </c>
      <c r="J23" s="125">
        <f>I23*$I$16</f>
        <v>164950.66229508197</v>
      </c>
      <c r="K23" s="838">
        <f>J23*C23</f>
        <v>27134383.947540984</v>
      </c>
      <c r="M23" s="825">
        <v>164.5</v>
      </c>
      <c r="N23" s="16">
        <v>1.9672131147540985E-2</v>
      </c>
      <c r="P23" s="86"/>
    </row>
    <row r="24" spans="3:44" x14ac:dyDescent="0.2">
      <c r="F24" s="215"/>
      <c r="G24" s="64"/>
      <c r="H24" s="64"/>
      <c r="I24" s="64"/>
      <c r="J24" s="97"/>
      <c r="K24" s="59"/>
      <c r="M24" s="86"/>
      <c r="N24" s="20"/>
      <c r="O24" s="215"/>
      <c r="P24" s="86"/>
    </row>
    <row r="25" spans="3:44" ht="16" thickBot="1" x14ac:dyDescent="0.25">
      <c r="P25" s="86"/>
    </row>
    <row r="26" spans="3:44" ht="17" thickBot="1" x14ac:dyDescent="0.25">
      <c r="D26" s="845" t="s">
        <v>1052</v>
      </c>
      <c r="E26" s="846" t="s">
        <v>1050</v>
      </c>
      <c r="F26" s="847" t="s">
        <v>1053</v>
      </c>
    </row>
    <row r="27" spans="3:44" ht="15" customHeight="1" x14ac:dyDescent="0.2">
      <c r="C27" s="561" t="s">
        <v>1054</v>
      </c>
      <c r="D27" s="848">
        <v>82.368420927631092</v>
      </c>
      <c r="E27" s="637">
        <f>-0.0019*D27+0.313</f>
        <v>0.15650000023750094</v>
      </c>
      <c r="F27" s="849">
        <f>E27*D27*I16</f>
        <v>108088063.32210526</v>
      </c>
    </row>
    <row r="28" spans="3:44" ht="15" customHeight="1" thickBot="1" x14ac:dyDescent="0.25">
      <c r="C28" s="96" t="s">
        <v>1055</v>
      </c>
      <c r="D28" s="850">
        <v>72.5</v>
      </c>
      <c r="E28" s="851">
        <f>0.00003*(D28)^2-0.0079*D28+0.6378</f>
        <v>0.22273749999999992</v>
      </c>
      <c r="F28" s="852">
        <f>D28*E28*I16</f>
        <v>135404781.28099996</v>
      </c>
    </row>
    <row r="29" spans="3:44" ht="15" customHeight="1" x14ac:dyDescent="0.2">
      <c r="D29" s="1857" t="s">
        <v>1056</v>
      </c>
      <c r="E29" s="1857"/>
      <c r="F29" s="1857"/>
      <c r="G29" s="1857"/>
      <c r="H29" s="1857"/>
      <c r="AF29" s="20"/>
      <c r="AG29" s="215"/>
      <c r="AH29" s="215"/>
      <c r="AI29" s="215"/>
      <c r="AJ29" s="64"/>
      <c r="AK29" s="64"/>
      <c r="AL29" s="64"/>
      <c r="AM29" s="97"/>
      <c r="AN29" s="59"/>
      <c r="AP29" s="86"/>
      <c r="AQ29" s="20"/>
      <c r="AR29" s="215"/>
    </row>
    <row r="30" spans="3:44" ht="15" customHeight="1" x14ac:dyDescent="0.2">
      <c r="D30" s="1857"/>
      <c r="E30" s="1857"/>
      <c r="F30" s="1857"/>
      <c r="G30" s="1857"/>
      <c r="H30" s="1857"/>
      <c r="AF30" s="20"/>
      <c r="AG30" s="215"/>
      <c r="AH30" s="215"/>
      <c r="AI30" s="215"/>
      <c r="AJ30" s="64"/>
      <c r="AK30" s="64"/>
      <c r="AL30" s="64"/>
      <c r="AM30" s="97"/>
      <c r="AN30" s="59"/>
      <c r="AP30" s="86"/>
      <c r="AQ30" s="20"/>
      <c r="AR30" s="215"/>
    </row>
    <row r="31" spans="3:44" ht="62.25" customHeight="1" x14ac:dyDescent="0.2">
      <c r="D31" s="1857"/>
      <c r="E31" s="1857"/>
      <c r="F31" s="1857"/>
      <c r="G31" s="1857"/>
      <c r="H31" s="1857"/>
      <c r="AF31" s="20"/>
      <c r="AG31" s="215"/>
      <c r="AH31" s="215"/>
      <c r="AI31" s="215"/>
      <c r="AJ31" s="64"/>
      <c r="AK31" s="64"/>
      <c r="AL31" s="64"/>
      <c r="AM31" s="97"/>
      <c r="AN31" s="59"/>
      <c r="AP31" s="86"/>
      <c r="AQ31" s="20"/>
      <c r="AR31" s="215"/>
    </row>
    <row r="32" spans="3:44" ht="15" customHeight="1" x14ac:dyDescent="0.2">
      <c r="AF32" s="20"/>
      <c r="AG32" s="215"/>
      <c r="AH32" s="215"/>
      <c r="AI32" s="215"/>
      <c r="AJ32" s="64"/>
      <c r="AK32" s="64"/>
      <c r="AL32" s="64"/>
      <c r="AM32" s="97"/>
      <c r="AN32" s="59"/>
      <c r="AP32" s="86"/>
      <c r="AQ32" s="20"/>
      <c r="AR32" s="215"/>
    </row>
    <row r="33" spans="7:44" ht="15" customHeight="1" x14ac:dyDescent="0.2">
      <c r="AF33" s="20"/>
      <c r="AG33" s="215"/>
      <c r="AH33" s="215"/>
      <c r="AI33" s="215"/>
      <c r="AJ33" s="64"/>
      <c r="AK33" s="64"/>
      <c r="AL33" s="64"/>
      <c r="AM33" s="97"/>
      <c r="AN33" s="59"/>
      <c r="AP33" s="86"/>
      <c r="AQ33" s="20"/>
      <c r="AR33" s="215"/>
    </row>
    <row r="34" spans="7:44" ht="15" customHeight="1" x14ac:dyDescent="0.2">
      <c r="AF34" s="20"/>
      <c r="AG34" s="215"/>
      <c r="AH34" s="215"/>
      <c r="AI34" s="215"/>
      <c r="AJ34" s="64"/>
      <c r="AK34" s="64"/>
      <c r="AL34" s="64"/>
      <c r="AM34" s="97"/>
      <c r="AN34" s="59"/>
      <c r="AP34" s="86"/>
      <c r="AQ34" s="20"/>
      <c r="AR34" s="215"/>
    </row>
    <row r="35" spans="7:44" ht="15" customHeight="1" x14ac:dyDescent="0.2">
      <c r="AF35" s="20"/>
      <c r="AG35" s="215"/>
      <c r="AH35" s="215"/>
      <c r="AI35" s="215"/>
      <c r="AJ35" s="64"/>
      <c r="AK35" s="64"/>
      <c r="AL35" s="64"/>
      <c r="AM35" s="97"/>
      <c r="AN35" s="59"/>
      <c r="AP35" s="86"/>
      <c r="AQ35" s="20"/>
      <c r="AR35" s="215"/>
    </row>
    <row r="36" spans="7:44" ht="15" customHeight="1" x14ac:dyDescent="0.2">
      <c r="AF36" s="20"/>
      <c r="AG36" s="215"/>
      <c r="AH36" s="215"/>
      <c r="AI36" s="215"/>
      <c r="AJ36" s="64"/>
      <c r="AK36" s="64"/>
      <c r="AL36" s="64"/>
      <c r="AM36" s="97"/>
      <c r="AN36" s="59"/>
      <c r="AP36" s="86"/>
      <c r="AQ36" s="20"/>
      <c r="AR36" s="215"/>
    </row>
    <row r="37" spans="7:44" ht="15" customHeight="1" x14ac:dyDescent="0.2">
      <c r="AF37" s="20"/>
      <c r="AG37" s="215"/>
      <c r="AH37" s="215"/>
      <c r="AI37" s="215"/>
      <c r="AJ37" s="64"/>
      <c r="AK37" s="64"/>
      <c r="AL37" s="64"/>
      <c r="AM37" s="97"/>
      <c r="AN37" s="59"/>
      <c r="AP37" s="86"/>
      <c r="AQ37" s="20"/>
      <c r="AR37" s="215"/>
    </row>
    <row r="38" spans="7:44" ht="15" customHeight="1" x14ac:dyDescent="0.2">
      <c r="AF38" s="20"/>
      <c r="AG38" s="215"/>
      <c r="AH38" s="215"/>
      <c r="AI38" s="215"/>
      <c r="AJ38" s="64"/>
      <c r="AK38" s="64"/>
      <c r="AL38" s="64"/>
      <c r="AM38" s="97"/>
      <c r="AN38" s="59"/>
      <c r="AP38" s="86"/>
      <c r="AQ38" s="20"/>
      <c r="AR38" s="215"/>
    </row>
    <row r="39" spans="7:44" ht="15" customHeight="1" x14ac:dyDescent="0.2">
      <c r="AF39" s="20"/>
      <c r="AG39" s="215"/>
      <c r="AH39" s="215"/>
      <c r="AI39" s="215"/>
      <c r="AJ39" s="64"/>
      <c r="AK39" s="64"/>
      <c r="AL39" s="64"/>
      <c r="AM39" s="97"/>
      <c r="AN39" s="59"/>
      <c r="AP39" s="86"/>
      <c r="AQ39" s="20"/>
      <c r="AR39" s="215"/>
    </row>
    <row r="40" spans="7:44" ht="15" customHeight="1" x14ac:dyDescent="0.2">
      <c r="G40" s="715"/>
      <c r="H40" s="715"/>
      <c r="K40" s="252"/>
      <c r="AF40" s="20"/>
      <c r="AG40" s="215"/>
      <c r="AH40" s="215"/>
      <c r="AI40" s="215"/>
      <c r="AJ40" s="64"/>
      <c r="AK40" s="64"/>
      <c r="AL40" s="64"/>
      <c r="AM40" s="97"/>
      <c r="AN40" s="59"/>
      <c r="AP40" s="86"/>
      <c r="AQ40" s="20"/>
      <c r="AR40" s="215"/>
    </row>
    <row r="41" spans="7:44" ht="15" customHeight="1" x14ac:dyDescent="0.2">
      <c r="G41" s="716"/>
      <c r="H41" s="717"/>
      <c r="I41" s="59"/>
      <c r="AF41" s="20"/>
      <c r="AG41" s="215"/>
      <c r="AH41" s="215"/>
      <c r="AI41" s="215"/>
      <c r="AJ41" s="64"/>
      <c r="AK41" s="64"/>
      <c r="AL41" s="64"/>
      <c r="AM41" s="97"/>
      <c r="AN41" s="59"/>
      <c r="AP41" s="86"/>
      <c r="AQ41" s="20"/>
      <c r="AR41" s="215"/>
    </row>
    <row r="42" spans="7:44" ht="15" customHeight="1" x14ac:dyDescent="0.2">
      <c r="G42" s="717"/>
      <c r="H42" s="717"/>
      <c r="L42" s="52"/>
      <c r="AF42" s="20"/>
      <c r="AG42" s="215"/>
      <c r="AH42" s="215"/>
      <c r="AI42" s="215"/>
      <c r="AJ42" s="64"/>
      <c r="AK42" s="64"/>
      <c r="AL42" s="64"/>
      <c r="AM42" s="97"/>
      <c r="AN42" s="59"/>
      <c r="AP42" s="86"/>
      <c r="AQ42" s="20"/>
      <c r="AR42" s="215"/>
    </row>
    <row r="43" spans="7:44" ht="15" customHeight="1" x14ac:dyDescent="0.2">
      <c r="AF43" s="20"/>
      <c r="AG43" s="215"/>
      <c r="AH43" s="215"/>
      <c r="AI43" s="215"/>
      <c r="AJ43" s="64"/>
      <c r="AK43" s="64"/>
      <c r="AL43" s="64"/>
      <c r="AM43" s="97"/>
      <c r="AN43" s="59"/>
      <c r="AP43" s="86"/>
      <c r="AQ43" s="20"/>
      <c r="AR43" s="215"/>
    </row>
    <row r="44" spans="7:44" ht="15" customHeight="1" x14ac:dyDescent="0.2">
      <c r="AF44" s="20"/>
      <c r="AG44" s="215"/>
      <c r="AH44" s="215"/>
      <c r="AI44" s="215"/>
      <c r="AJ44" s="64"/>
      <c r="AK44" s="64"/>
      <c r="AL44" s="64"/>
      <c r="AM44" s="97"/>
      <c r="AN44" s="59"/>
      <c r="AP44" s="86"/>
      <c r="AQ44" s="20"/>
      <c r="AR44" s="215"/>
    </row>
    <row r="45" spans="7:44" ht="15" customHeight="1" x14ac:dyDescent="0.2">
      <c r="AF45" s="20"/>
      <c r="AG45" s="215"/>
      <c r="AH45" s="215"/>
      <c r="AI45" s="215"/>
      <c r="AJ45" s="64"/>
      <c r="AK45" s="64"/>
      <c r="AL45" s="64"/>
      <c r="AM45" s="97"/>
      <c r="AN45" s="59"/>
      <c r="AP45" s="86"/>
      <c r="AQ45" s="20"/>
      <c r="AR45" s="215"/>
    </row>
    <row r="46" spans="7:44" ht="15" customHeight="1" x14ac:dyDescent="0.2">
      <c r="AF46" s="20"/>
      <c r="AG46" s="215"/>
      <c r="AH46" s="215"/>
      <c r="AI46" s="215"/>
      <c r="AJ46" s="64"/>
      <c r="AK46" s="64"/>
      <c r="AL46" s="64"/>
      <c r="AM46" s="97"/>
      <c r="AN46" s="59"/>
      <c r="AP46" s="86"/>
      <c r="AQ46" s="20"/>
      <c r="AR46" s="215"/>
    </row>
    <row r="47" spans="7:44" ht="15" customHeight="1" x14ac:dyDescent="0.2">
      <c r="AF47" s="20"/>
      <c r="AG47" s="215"/>
      <c r="AH47" s="215"/>
      <c r="AI47" s="215"/>
      <c r="AJ47" s="64"/>
      <c r="AK47" s="64"/>
      <c r="AL47" s="64"/>
      <c r="AM47" s="97"/>
      <c r="AN47" s="59"/>
      <c r="AP47" s="86"/>
      <c r="AQ47" s="20"/>
      <c r="AR47" s="215"/>
    </row>
    <row r="48" spans="7:44" ht="15" customHeight="1" x14ac:dyDescent="0.2">
      <c r="AF48" s="20"/>
      <c r="AG48" s="215"/>
      <c r="AH48" s="215"/>
      <c r="AI48" s="215"/>
      <c r="AJ48" s="64"/>
      <c r="AK48" s="64"/>
      <c r="AL48" s="64"/>
      <c r="AM48" s="97"/>
      <c r="AN48" s="59"/>
      <c r="AP48" s="86"/>
      <c r="AQ48" s="20"/>
      <c r="AR48" s="215"/>
    </row>
    <row r="49" spans="2:44" ht="15" customHeight="1" x14ac:dyDescent="0.2">
      <c r="K49" s="96"/>
      <c r="L49" s="5"/>
      <c r="AF49" s="20"/>
      <c r="AG49" s="215"/>
      <c r="AH49" s="215"/>
      <c r="AI49" s="215"/>
      <c r="AJ49" s="64"/>
      <c r="AK49" s="64"/>
      <c r="AL49" s="64"/>
      <c r="AM49" s="97"/>
      <c r="AN49" s="59"/>
      <c r="AP49" s="86"/>
      <c r="AQ49" s="20"/>
      <c r="AR49" s="215"/>
    </row>
    <row r="50" spans="2:44" ht="15" customHeight="1" x14ac:dyDescent="0.2">
      <c r="AF50" s="20"/>
      <c r="AG50" s="215"/>
      <c r="AH50" s="215"/>
      <c r="AI50" s="215"/>
      <c r="AJ50" s="64"/>
      <c r="AK50" s="64"/>
      <c r="AL50" s="64"/>
      <c r="AM50" s="97"/>
      <c r="AN50" s="59"/>
      <c r="AP50" s="86"/>
      <c r="AQ50" s="20"/>
      <c r="AR50" s="215"/>
    </row>
    <row r="51" spans="2:44" ht="15" customHeight="1" x14ac:dyDescent="0.2">
      <c r="J51" s="18"/>
      <c r="L51" s="644"/>
      <c r="AF51" s="20"/>
      <c r="AG51" s="215"/>
      <c r="AH51" s="215"/>
      <c r="AI51" s="215"/>
      <c r="AJ51" s="64"/>
      <c r="AK51" s="64"/>
      <c r="AL51" s="64"/>
      <c r="AM51" s="97"/>
      <c r="AN51" s="59"/>
      <c r="AP51" s="86"/>
      <c r="AQ51" s="20"/>
      <c r="AR51" s="215"/>
    </row>
    <row r="52" spans="2:44" ht="15" customHeight="1" x14ac:dyDescent="0.2">
      <c r="AF52" s="20"/>
      <c r="AG52" s="215"/>
      <c r="AH52" s="215"/>
      <c r="AI52" s="215"/>
      <c r="AJ52" s="64"/>
      <c r="AK52" s="64"/>
      <c r="AL52" s="64"/>
      <c r="AM52" s="97"/>
      <c r="AN52" s="59"/>
      <c r="AP52" s="86"/>
      <c r="AQ52" s="20"/>
      <c r="AR52" s="215"/>
    </row>
    <row r="53" spans="2:44" ht="15" customHeight="1" x14ac:dyDescent="0.2">
      <c r="D53" s="86"/>
      <c r="E53" s="64"/>
      <c r="F53" s="64"/>
      <c r="G53" s="64"/>
      <c r="H53" s="64"/>
      <c r="I53" s="64"/>
      <c r="J53" s="64"/>
      <c r="K53" s="97"/>
      <c r="L53" s="59"/>
      <c r="AF53" s="20"/>
      <c r="AG53" s="215"/>
      <c r="AH53" s="215"/>
      <c r="AI53" s="215"/>
      <c r="AJ53" s="64"/>
      <c r="AK53" s="64"/>
      <c r="AL53" s="64"/>
      <c r="AM53" s="97"/>
      <c r="AN53" s="59"/>
      <c r="AP53" s="86"/>
      <c r="AQ53" s="20"/>
      <c r="AR53" s="215"/>
    </row>
    <row r="54" spans="2:44" s="146" customFormat="1" ht="15" customHeight="1" x14ac:dyDescent="0.2">
      <c r="D54" s="1483"/>
      <c r="E54" s="1484"/>
      <c r="F54" s="1484"/>
      <c r="G54" s="1484"/>
      <c r="H54" s="1484"/>
      <c r="I54" s="1484"/>
      <c r="J54" s="1484"/>
      <c r="K54" s="1485"/>
      <c r="L54" s="1486"/>
      <c r="AF54" s="1487"/>
      <c r="AG54" s="1488"/>
      <c r="AH54" s="1488"/>
      <c r="AI54" s="1488"/>
      <c r="AJ54" s="1484"/>
      <c r="AK54" s="1484"/>
      <c r="AL54" s="1484"/>
      <c r="AM54" s="1485"/>
      <c r="AN54" s="1486"/>
      <c r="AP54" s="1483"/>
      <c r="AQ54" s="1487"/>
      <c r="AR54" s="1488"/>
    </row>
    <row r="55" spans="2:44" ht="15" customHeight="1" x14ac:dyDescent="0.2">
      <c r="D55" s="86"/>
      <c r="E55" s="64"/>
      <c r="F55" s="64"/>
      <c r="G55" s="64"/>
      <c r="H55" s="64"/>
      <c r="I55" s="64"/>
      <c r="J55" s="64"/>
      <c r="K55" s="97"/>
      <c r="L55" s="59"/>
      <c r="AF55" s="20"/>
      <c r="AG55" s="215"/>
      <c r="AH55" s="215"/>
      <c r="AI55" s="215"/>
      <c r="AJ55" s="64"/>
      <c r="AK55" s="64"/>
      <c r="AL55" s="64"/>
      <c r="AM55" s="97"/>
      <c r="AN55" s="59"/>
      <c r="AP55" s="86"/>
      <c r="AQ55" s="20"/>
      <c r="AR55" s="215"/>
    </row>
    <row r="56" spans="2:44" ht="15" customHeight="1" x14ac:dyDescent="0.2">
      <c r="B56" s="1858" t="s">
        <v>1057</v>
      </c>
      <c r="C56" s="1858"/>
      <c r="D56" s="1858"/>
      <c r="E56" s="1858"/>
      <c r="F56" s="1858"/>
      <c r="G56" s="1858"/>
      <c r="H56" s="64"/>
      <c r="I56" s="64"/>
      <c r="J56" s="64"/>
      <c r="K56" s="97"/>
      <c r="L56" s="59"/>
      <c r="AF56" s="20"/>
      <c r="AG56" s="215"/>
      <c r="AH56" s="215"/>
      <c r="AI56" s="215"/>
      <c r="AJ56" s="64"/>
      <c r="AK56" s="64"/>
      <c r="AL56" s="64"/>
      <c r="AM56" s="97"/>
      <c r="AN56" s="59"/>
      <c r="AP56" s="86"/>
      <c r="AQ56" s="20"/>
      <c r="AR56" s="215"/>
    </row>
    <row r="57" spans="2:44" ht="15" customHeight="1" x14ac:dyDescent="0.2">
      <c r="B57" s="1858"/>
      <c r="C57" s="1858"/>
      <c r="D57" s="1858"/>
      <c r="E57" s="1858"/>
      <c r="F57" s="1858"/>
      <c r="G57" s="1858"/>
      <c r="H57" s="64"/>
      <c r="I57" s="64"/>
      <c r="J57" s="64"/>
      <c r="K57" s="97"/>
      <c r="L57" s="59"/>
      <c r="AF57" s="20"/>
      <c r="AG57" s="215"/>
      <c r="AH57" s="215"/>
      <c r="AI57" s="215"/>
      <c r="AJ57" s="64"/>
      <c r="AK57" s="64"/>
      <c r="AL57" s="64"/>
      <c r="AM57" s="97"/>
      <c r="AN57" s="59"/>
      <c r="AP57" s="86"/>
      <c r="AQ57" s="20"/>
      <c r="AR57" s="215"/>
    </row>
    <row r="58" spans="2:44" ht="15" customHeight="1" x14ac:dyDescent="0.2">
      <c r="B58" s="1858"/>
      <c r="C58" s="1858"/>
      <c r="D58" s="1858"/>
      <c r="E58" s="1858"/>
      <c r="F58" s="1858"/>
      <c r="G58" s="1858"/>
      <c r="H58" s="64"/>
      <c r="I58" s="64"/>
      <c r="J58" s="64"/>
      <c r="K58" s="97"/>
      <c r="L58" s="59"/>
      <c r="AF58" s="20"/>
      <c r="AG58" s="215"/>
      <c r="AH58" s="215"/>
      <c r="AI58" s="215"/>
      <c r="AJ58" s="64"/>
      <c r="AK58" s="64"/>
      <c r="AL58" s="64"/>
      <c r="AM58" s="97"/>
      <c r="AN58" s="59"/>
      <c r="AP58" s="86"/>
      <c r="AQ58" s="20"/>
      <c r="AR58" s="215"/>
    </row>
    <row r="59" spans="2:44" ht="15" customHeight="1" x14ac:dyDescent="0.2">
      <c r="B59" s="1858"/>
      <c r="C59" s="1858"/>
      <c r="D59" s="1858"/>
      <c r="E59" s="1858"/>
      <c r="F59" s="1858"/>
      <c r="G59" s="1858"/>
      <c r="AF59" s="20"/>
      <c r="AG59" s="215"/>
      <c r="AH59" s="215"/>
      <c r="AI59" s="215"/>
      <c r="AJ59" s="64"/>
      <c r="AK59" s="64"/>
      <c r="AL59" s="64"/>
      <c r="AM59" s="97"/>
      <c r="AN59" s="59"/>
      <c r="AP59" s="86"/>
      <c r="AQ59" s="20"/>
      <c r="AR59" s="215"/>
    </row>
    <row r="60" spans="2:44" ht="15" customHeight="1" x14ac:dyDescent="0.2">
      <c r="B60" s="1858"/>
      <c r="C60" s="1858"/>
      <c r="D60" s="1858"/>
      <c r="E60" s="1858"/>
      <c r="F60" s="1858"/>
      <c r="G60" s="1858"/>
      <c r="AF60" s="20"/>
      <c r="AG60" s="215"/>
      <c r="AH60" s="215"/>
      <c r="AI60" s="215"/>
      <c r="AJ60" s="64"/>
      <c r="AK60" s="64"/>
      <c r="AL60" s="64"/>
      <c r="AM60" s="97"/>
      <c r="AN60" s="59"/>
      <c r="AP60" s="86"/>
      <c r="AQ60" s="20"/>
      <c r="AR60" s="215"/>
    </row>
    <row r="61" spans="2:44" ht="15" customHeight="1" x14ac:dyDescent="0.2">
      <c r="B61" s="1858"/>
      <c r="C61" s="1858"/>
      <c r="D61" s="1858"/>
      <c r="E61" s="1858"/>
      <c r="F61" s="1858"/>
      <c r="G61" s="1858"/>
      <c r="AF61" s="20"/>
      <c r="AG61" s="215"/>
      <c r="AH61" s="215"/>
      <c r="AI61" s="215"/>
      <c r="AJ61" s="64"/>
      <c r="AK61" s="64"/>
      <c r="AL61" s="64"/>
      <c r="AM61" s="97"/>
      <c r="AN61" s="59"/>
      <c r="AP61" s="86"/>
      <c r="AQ61" s="20"/>
      <c r="AR61" s="215"/>
    </row>
    <row r="62" spans="2:44" ht="15" customHeight="1" x14ac:dyDescent="0.2">
      <c r="B62" s="1858"/>
      <c r="C62" s="1858"/>
      <c r="D62" s="1858"/>
      <c r="E62" s="1858"/>
      <c r="F62" s="1858"/>
      <c r="G62" s="1858"/>
      <c r="AF62" s="20"/>
      <c r="AG62" s="215"/>
      <c r="AH62" s="215"/>
      <c r="AI62" s="215"/>
      <c r="AJ62" s="64"/>
      <c r="AK62" s="64"/>
      <c r="AL62" s="64"/>
      <c r="AM62" s="97"/>
      <c r="AN62" s="59"/>
      <c r="AP62" s="86"/>
      <c r="AQ62" s="20"/>
      <c r="AR62" s="215"/>
    </row>
    <row r="63" spans="2:44" ht="15" customHeight="1" x14ac:dyDescent="0.2">
      <c r="AF63" s="20"/>
      <c r="AG63" s="215"/>
      <c r="AH63" s="215"/>
      <c r="AI63" s="215"/>
      <c r="AJ63" s="64"/>
      <c r="AK63" s="64"/>
      <c r="AL63" s="64"/>
      <c r="AM63" s="97"/>
      <c r="AN63" s="59"/>
      <c r="AP63" s="86"/>
      <c r="AQ63" s="17"/>
      <c r="AR63" s="496"/>
    </row>
    <row r="64" spans="2:44" ht="15" customHeight="1" x14ac:dyDescent="0.2">
      <c r="AF64" s="20"/>
      <c r="AG64" s="215"/>
      <c r="AH64" s="215"/>
      <c r="AI64" s="215"/>
      <c r="AJ64" s="64"/>
      <c r="AK64" s="64"/>
      <c r="AL64" s="64"/>
      <c r="AM64" s="97"/>
      <c r="AN64" s="59"/>
      <c r="AP64" s="86"/>
      <c r="AQ64" s="17"/>
      <c r="AR64" s="496"/>
    </row>
    <row r="65" spans="2:44" x14ac:dyDescent="0.2">
      <c r="AL65" s="64"/>
      <c r="AQ65" s="17"/>
      <c r="AR65" s="496"/>
    </row>
    <row r="66" spans="2:44" ht="16" thickBot="1" x14ac:dyDescent="0.25">
      <c r="B66" s="5" t="s">
        <v>581</v>
      </c>
      <c r="C66" s="5"/>
      <c r="D66" s="5" t="s">
        <v>1058</v>
      </c>
      <c r="AL66" s="64"/>
      <c r="AQ66" s="17"/>
      <c r="AR66" s="496"/>
    </row>
    <row r="67" spans="2:44" ht="33" customHeight="1" thickBot="1" x14ac:dyDescent="0.25">
      <c r="B67" s="638"/>
      <c r="C67" s="639" t="s">
        <v>1059</v>
      </c>
      <c r="D67" s="890" t="s">
        <v>1060</v>
      </c>
      <c r="E67" s="501" t="s">
        <v>1061</v>
      </c>
      <c r="AL67" s="64"/>
      <c r="AQ67" s="17"/>
      <c r="AR67" s="496"/>
    </row>
    <row r="68" spans="2:44" x14ac:dyDescent="0.2">
      <c r="B68" s="640"/>
      <c r="C68" t="s">
        <v>1062</v>
      </c>
      <c r="D68" s="104" t="s">
        <v>1030</v>
      </c>
      <c r="E68" s="499">
        <v>0.8</v>
      </c>
      <c r="AL68" s="64"/>
      <c r="AQ68" s="17"/>
      <c r="AR68" s="496"/>
    </row>
    <row r="69" spans="2:44" ht="68.25" customHeight="1" thickBot="1" x14ac:dyDescent="0.25">
      <c r="B69" s="889"/>
      <c r="C69" s="531" t="s">
        <v>1063</v>
      </c>
      <c r="D69" s="891" t="s">
        <v>1064</v>
      </c>
      <c r="E69" s="500">
        <v>0.3</v>
      </c>
      <c r="AM69" s="172"/>
      <c r="AN69" s="172"/>
      <c r="AO69" s="172"/>
      <c r="AP69" s="172"/>
      <c r="AQ69" s="172"/>
    </row>
    <row r="70" spans="2:44" x14ac:dyDescent="0.2">
      <c r="K70" s="127"/>
      <c r="L70" s="127"/>
      <c r="M70" s="127"/>
      <c r="N70" s="127"/>
      <c r="O70" s="127"/>
      <c r="AL70" s="561"/>
      <c r="AM70" s="86"/>
      <c r="AN70" s="64"/>
      <c r="AO70" s="86"/>
      <c r="AP70" s="26"/>
      <c r="AQ70" s="59"/>
      <c r="AR70" s="59"/>
    </row>
    <row r="71" spans="2:44" x14ac:dyDescent="0.2">
      <c r="AL71" s="96"/>
      <c r="AM71" s="86"/>
      <c r="AN71" s="64"/>
      <c r="AO71" s="59"/>
      <c r="AP71" s="59"/>
      <c r="AQ71" s="59"/>
    </row>
    <row r="72" spans="2:44" x14ac:dyDescent="0.2">
      <c r="J72" s="102"/>
      <c r="AN72" s="643"/>
      <c r="AO72" s="103"/>
    </row>
    <row r="73" spans="2:44" ht="20" thickBot="1" x14ac:dyDescent="0.3">
      <c r="B73" s="1853" t="s">
        <v>1065</v>
      </c>
      <c r="C73" s="1853"/>
      <c r="D73" s="1853"/>
      <c r="E73" s="1853"/>
      <c r="F73" s="1853"/>
      <c r="G73" s="1853"/>
      <c r="H73" s="1853"/>
      <c r="I73" s="1853"/>
      <c r="K73" s="95"/>
      <c r="N73" s="1853" t="s">
        <v>1066</v>
      </c>
      <c r="O73" s="1853"/>
      <c r="P73" s="1853"/>
      <c r="Q73" s="1853"/>
      <c r="R73" s="1853"/>
      <c r="S73" s="1853"/>
      <c r="T73" s="1853"/>
      <c r="U73" s="1853"/>
      <c r="AN73" s="643"/>
      <c r="AO73" s="113"/>
    </row>
    <row r="74" spans="2:44" ht="15" customHeight="1" x14ac:dyDescent="0.2">
      <c r="B74" s="1856" t="s">
        <v>1067</v>
      </c>
      <c r="C74" s="870"/>
      <c r="D74" s="871" t="s">
        <v>1068</v>
      </c>
      <c r="E74" s="872"/>
      <c r="F74" s="872"/>
      <c r="G74" s="872"/>
      <c r="H74" s="872"/>
      <c r="I74" s="873"/>
      <c r="N74" s="1856" t="s">
        <v>1069</v>
      </c>
      <c r="O74" s="870"/>
      <c r="P74" s="871" t="s">
        <v>1068</v>
      </c>
      <c r="Q74" s="872"/>
      <c r="R74" s="872"/>
      <c r="S74" s="872"/>
      <c r="T74" s="872"/>
      <c r="U74" s="873"/>
    </row>
    <row r="75" spans="2:44" ht="177" thickBot="1" x14ac:dyDescent="0.25">
      <c r="B75" s="1856"/>
      <c r="C75" s="874"/>
      <c r="D75" s="861" t="s">
        <v>1029</v>
      </c>
      <c r="E75" s="861"/>
      <c r="F75" s="861" t="s">
        <v>1070</v>
      </c>
      <c r="G75" s="861"/>
      <c r="H75" s="861" t="s">
        <v>1071</v>
      </c>
      <c r="I75" s="875" t="s">
        <v>1072</v>
      </c>
      <c r="N75" s="1856"/>
      <c r="O75" s="874"/>
      <c r="P75" s="861" t="s">
        <v>1029</v>
      </c>
      <c r="Q75" s="861"/>
      <c r="R75" s="861" t="s">
        <v>1070</v>
      </c>
      <c r="S75" s="861"/>
      <c r="T75" s="861" t="s">
        <v>1071</v>
      </c>
      <c r="U75" s="875" t="s">
        <v>1072</v>
      </c>
    </row>
    <row r="76" spans="2:44" ht="96" customHeight="1" thickBot="1" x14ac:dyDescent="0.25">
      <c r="B76" s="1856"/>
      <c r="C76" s="876" t="s">
        <v>1073</v>
      </c>
      <c r="D76" s="858" t="s">
        <v>1074</v>
      </c>
      <c r="E76" s="858" t="s">
        <v>1075</v>
      </c>
      <c r="F76" s="858" t="s">
        <v>1076</v>
      </c>
      <c r="G76" s="858" t="s">
        <v>1075</v>
      </c>
      <c r="H76" s="859"/>
      <c r="I76" s="877"/>
      <c r="J76" s="563" t="s">
        <v>1077</v>
      </c>
      <c r="K76" s="563" t="s">
        <v>1078</v>
      </c>
      <c r="L76" s="564" t="s">
        <v>1079</v>
      </c>
      <c r="N76" s="1856"/>
      <c r="O76" s="886" t="s">
        <v>1080</v>
      </c>
      <c r="P76" s="858" t="s">
        <v>1074</v>
      </c>
      <c r="Q76" s="858" t="s">
        <v>1075</v>
      </c>
      <c r="R76" s="858" t="s">
        <v>1076</v>
      </c>
      <c r="S76" s="858" t="s">
        <v>1075</v>
      </c>
      <c r="T76" s="859"/>
      <c r="U76" s="877"/>
      <c r="V76" s="864" t="s">
        <v>1077</v>
      </c>
      <c r="W76" s="864" t="s">
        <v>1078</v>
      </c>
      <c r="X76" s="865" t="s">
        <v>1079</v>
      </c>
    </row>
    <row r="77" spans="2:44" ht="19" customHeight="1" x14ac:dyDescent="0.2">
      <c r="B77" s="1856"/>
      <c r="C77" s="878" t="s">
        <v>1081</v>
      </c>
      <c r="D77" s="104">
        <v>0</v>
      </c>
      <c r="E77" s="853">
        <v>0</v>
      </c>
      <c r="F77" s="104">
        <v>0</v>
      </c>
      <c r="G77" s="853">
        <v>0</v>
      </c>
      <c r="H77">
        <v>1</v>
      </c>
      <c r="I77" s="879">
        <v>1</v>
      </c>
      <c r="J77" s="565">
        <f>$E$69*E77</f>
        <v>0</v>
      </c>
      <c r="K77" s="565">
        <f>$E$68*G77</f>
        <v>0</v>
      </c>
      <c r="L77" s="566">
        <f>SUM(J77:K77)</f>
        <v>0</v>
      </c>
      <c r="N77" s="1856"/>
      <c r="O77" s="887" t="s">
        <v>1082</v>
      </c>
      <c r="P77">
        <v>5</v>
      </c>
      <c r="Q77" s="856">
        <v>0.5</v>
      </c>
      <c r="R77">
        <v>2</v>
      </c>
      <c r="S77" s="856">
        <v>0.2</v>
      </c>
      <c r="T77">
        <v>1</v>
      </c>
      <c r="U77" s="879">
        <v>1</v>
      </c>
      <c r="V77" s="565">
        <f>$E$69*Q77</f>
        <v>0.15</v>
      </c>
      <c r="W77" s="565">
        <f>$E$68*S77</f>
        <v>0.16000000000000003</v>
      </c>
      <c r="X77" s="867">
        <f>SUM(V77:W77)</f>
        <v>0.31000000000000005</v>
      </c>
    </row>
    <row r="78" spans="2:44" ht="17.25" customHeight="1" x14ac:dyDescent="0.2">
      <c r="B78" s="1856"/>
      <c r="C78" s="878" t="s">
        <v>1083</v>
      </c>
      <c r="D78" s="104">
        <v>13</v>
      </c>
      <c r="E78" s="853">
        <v>0.52</v>
      </c>
      <c r="F78" s="104">
        <v>2</v>
      </c>
      <c r="G78" s="853">
        <v>0.08</v>
      </c>
      <c r="H78">
        <v>25</v>
      </c>
      <c r="I78" s="879">
        <v>1</v>
      </c>
      <c r="J78" s="565">
        <f>$E$69*E78</f>
        <v>0.156</v>
      </c>
      <c r="K78" s="565">
        <f>$E$68*G78</f>
        <v>6.4000000000000001E-2</v>
      </c>
      <c r="L78" s="566">
        <f t="shared" ref="L78:L80" si="1">SUM(J78:K78)</f>
        <v>0.22</v>
      </c>
      <c r="N78" s="1856"/>
      <c r="O78" s="878" t="s">
        <v>1084</v>
      </c>
      <c r="P78">
        <v>19</v>
      </c>
      <c r="Q78" s="853">
        <v>0.54285714285714282</v>
      </c>
      <c r="R78">
        <v>3</v>
      </c>
      <c r="S78" s="853">
        <v>8.5714285714285715E-2</v>
      </c>
      <c r="T78">
        <v>25</v>
      </c>
      <c r="U78" s="879">
        <v>1</v>
      </c>
      <c r="V78" s="565">
        <f>$E$69*Q78</f>
        <v>0.16285714285714284</v>
      </c>
      <c r="W78" s="565">
        <f>$E$68*S78</f>
        <v>6.8571428571428575E-2</v>
      </c>
      <c r="X78" s="867">
        <f>SUM(V78:W78)</f>
        <v>0.23142857142857143</v>
      </c>
    </row>
    <row r="79" spans="2:44" x14ac:dyDescent="0.2">
      <c r="B79" s="1856"/>
      <c r="C79" s="878" t="s">
        <v>1085</v>
      </c>
      <c r="D79" s="104">
        <v>13</v>
      </c>
      <c r="E79" s="853">
        <v>0.4642857142857143</v>
      </c>
      <c r="F79" s="104">
        <v>3</v>
      </c>
      <c r="G79" s="853">
        <v>0.10714285714285714</v>
      </c>
      <c r="H79">
        <v>28</v>
      </c>
      <c r="I79" s="879">
        <v>1</v>
      </c>
      <c r="J79" s="565">
        <f>$E$69*E79</f>
        <v>0.13928571428571429</v>
      </c>
      <c r="K79" s="565">
        <f>$E$68*G79</f>
        <v>8.5714285714285715E-2</v>
      </c>
      <c r="L79" s="566">
        <f t="shared" si="1"/>
        <v>0.22500000000000001</v>
      </c>
      <c r="N79" s="1856"/>
      <c r="O79" s="878" t="s">
        <v>1086</v>
      </c>
      <c r="P79">
        <v>6</v>
      </c>
      <c r="Q79" s="853">
        <v>0.5</v>
      </c>
      <c r="R79">
        <v>1</v>
      </c>
      <c r="S79" s="853">
        <v>8.3333333333333329E-2</v>
      </c>
      <c r="T79">
        <v>28</v>
      </c>
      <c r="U79" s="879">
        <v>1</v>
      </c>
      <c r="V79" s="565">
        <f>$E$69*Q79</f>
        <v>0.15</v>
      </c>
      <c r="W79" s="565">
        <f>$E$68*S79</f>
        <v>6.6666666666666666E-2</v>
      </c>
      <c r="X79" s="867">
        <f>SUM(V79:W79)</f>
        <v>0.21666666666666667</v>
      </c>
    </row>
    <row r="80" spans="2:44" ht="16" thickBot="1" x14ac:dyDescent="0.25">
      <c r="B80" s="1856"/>
      <c r="C80" s="878" t="s">
        <v>1087</v>
      </c>
      <c r="D80" s="104">
        <v>4</v>
      </c>
      <c r="E80" s="853">
        <v>0.8</v>
      </c>
      <c r="F80" s="104">
        <v>1</v>
      </c>
      <c r="G80" s="853">
        <v>0.2</v>
      </c>
      <c r="H80">
        <v>5</v>
      </c>
      <c r="I80" s="879">
        <v>1</v>
      </c>
      <c r="J80" s="568">
        <f>$E$69*E80</f>
        <v>0.24</v>
      </c>
      <c r="K80" s="568">
        <f>$E$68*G80</f>
        <v>0.16000000000000003</v>
      </c>
      <c r="L80" s="569">
        <f t="shared" si="1"/>
        <v>0.4</v>
      </c>
      <c r="N80" s="1856"/>
      <c r="O80" s="878" t="s">
        <v>1088</v>
      </c>
      <c r="Q80" s="853">
        <v>0</v>
      </c>
      <c r="R80">
        <v>0</v>
      </c>
      <c r="S80" s="853">
        <v>0</v>
      </c>
      <c r="T80">
        <v>5</v>
      </c>
      <c r="U80" s="879">
        <v>1</v>
      </c>
      <c r="V80" s="565">
        <f>$E$69*Q80</f>
        <v>0</v>
      </c>
      <c r="W80" s="565">
        <f>$E$68*S80</f>
        <v>0</v>
      </c>
      <c r="X80" s="867">
        <f>SUM(V80:W80)</f>
        <v>0</v>
      </c>
    </row>
    <row r="81" spans="2:24" ht="16" thickBot="1" x14ac:dyDescent="0.25">
      <c r="B81" s="1856"/>
      <c r="C81" s="880" t="s">
        <v>1031</v>
      </c>
      <c r="D81" s="881">
        <v>30</v>
      </c>
      <c r="E81" s="882">
        <v>0.50847457627118642</v>
      </c>
      <c r="F81" s="881">
        <v>6</v>
      </c>
      <c r="G81" s="882">
        <v>0.10169491525423729</v>
      </c>
      <c r="H81" s="883">
        <v>59</v>
      </c>
      <c r="I81" s="884">
        <v>1</v>
      </c>
      <c r="L81" s="64"/>
      <c r="N81" s="1856"/>
      <c r="O81" s="888" t="s">
        <v>1089</v>
      </c>
      <c r="Q81" s="854">
        <v>0</v>
      </c>
      <c r="R81">
        <v>0</v>
      </c>
      <c r="S81" s="854">
        <v>0</v>
      </c>
      <c r="T81">
        <v>1</v>
      </c>
      <c r="U81" s="499">
        <v>1</v>
      </c>
      <c r="V81" s="862">
        <f>$E$69*Q81</f>
        <v>0</v>
      </c>
      <c r="W81" s="862">
        <f>$E$68*S81</f>
        <v>0</v>
      </c>
      <c r="X81" s="869">
        <f>SUM(V81:W81)</f>
        <v>0</v>
      </c>
    </row>
    <row r="82" spans="2:24" ht="16" thickBot="1" x14ac:dyDescent="0.25">
      <c r="N82" s="1856"/>
      <c r="O82" s="880" t="s">
        <v>1031</v>
      </c>
      <c r="P82" s="881">
        <v>30</v>
      </c>
      <c r="Q82" s="882">
        <v>0.50847457627118642</v>
      </c>
      <c r="R82" s="881">
        <v>6</v>
      </c>
      <c r="S82" s="882">
        <v>0.10169491525423729</v>
      </c>
      <c r="T82" s="883">
        <v>59</v>
      </c>
      <c r="U82" s="884">
        <v>1</v>
      </c>
      <c r="X82" s="64"/>
    </row>
    <row r="83" spans="2:24" ht="19" x14ac:dyDescent="0.25">
      <c r="N83" s="894" t="s">
        <v>1090</v>
      </c>
    </row>
    <row r="84" spans="2:24" ht="20.25" customHeight="1" thickBot="1" x14ac:dyDescent="0.3">
      <c r="B84" s="1853" t="s">
        <v>1091</v>
      </c>
      <c r="C84" s="1853"/>
      <c r="D84" s="1853"/>
      <c r="E84" s="1853"/>
      <c r="F84" s="1853"/>
      <c r="G84" s="1853"/>
      <c r="H84" s="1853"/>
      <c r="I84" s="1853"/>
      <c r="N84" s="1853" t="s">
        <v>1092</v>
      </c>
      <c r="O84" s="1853"/>
      <c r="P84" s="1853"/>
      <c r="Q84" s="1853"/>
      <c r="R84" s="1853"/>
      <c r="S84" s="1853"/>
      <c r="T84" s="1853"/>
      <c r="U84" s="1853"/>
    </row>
    <row r="85" spans="2:24" ht="92.25" customHeight="1" x14ac:dyDescent="0.2">
      <c r="B85" s="1861" t="s">
        <v>1093</v>
      </c>
      <c r="C85" s="892"/>
      <c r="D85" s="871" t="s">
        <v>1068</v>
      </c>
      <c r="E85" s="872"/>
      <c r="F85" s="872"/>
      <c r="G85" s="872"/>
      <c r="H85" s="872"/>
      <c r="I85" s="873"/>
      <c r="N85" s="1856" t="s">
        <v>1094</v>
      </c>
      <c r="P85" s="111" t="s">
        <v>1095</v>
      </c>
      <c r="Q85" s="111"/>
    </row>
    <row r="86" spans="2:24" ht="69" customHeight="1" thickBot="1" x14ac:dyDescent="0.25">
      <c r="B86" s="1861"/>
      <c r="C86" s="860"/>
      <c r="D86" s="861" t="s">
        <v>1029</v>
      </c>
      <c r="E86" s="861"/>
      <c r="F86" s="861" t="s">
        <v>1070</v>
      </c>
      <c r="G86" s="861"/>
      <c r="H86" s="861" t="s">
        <v>1071</v>
      </c>
      <c r="I86" s="875" t="s">
        <v>1072</v>
      </c>
      <c r="N86" s="1856"/>
      <c r="P86" s="53" t="s">
        <v>1096</v>
      </c>
      <c r="Q86" s="53"/>
      <c r="R86" s="53" t="s">
        <v>1097</v>
      </c>
      <c r="S86" s="53"/>
      <c r="T86" s="53" t="s">
        <v>1098</v>
      </c>
      <c r="U86" s="53" t="s">
        <v>1099</v>
      </c>
    </row>
    <row r="87" spans="2:24" ht="67" customHeight="1" thickBot="1" x14ac:dyDescent="0.25">
      <c r="B87" s="1861"/>
      <c r="C87" s="885" t="s">
        <v>1100</v>
      </c>
      <c r="D87" s="858" t="s">
        <v>1074</v>
      </c>
      <c r="E87" s="858" t="s">
        <v>1075</v>
      </c>
      <c r="F87" s="858" t="s">
        <v>1076</v>
      </c>
      <c r="G87" s="858" t="s">
        <v>1075</v>
      </c>
      <c r="H87" s="859"/>
      <c r="I87" s="877"/>
      <c r="J87" s="864" t="s">
        <v>1077</v>
      </c>
      <c r="K87" s="864" t="s">
        <v>1078</v>
      </c>
      <c r="L87" s="865" t="s">
        <v>1079</v>
      </c>
      <c r="N87" s="1856"/>
      <c r="O87" s="111" t="s">
        <v>1101</v>
      </c>
      <c r="P87" t="s">
        <v>1102</v>
      </c>
      <c r="Q87" t="s">
        <v>1103</v>
      </c>
      <c r="R87" t="s">
        <v>1102</v>
      </c>
      <c r="S87" t="s">
        <v>1103</v>
      </c>
      <c r="V87" s="562" t="s">
        <v>1077</v>
      </c>
      <c r="W87" s="563" t="s">
        <v>1078</v>
      </c>
      <c r="X87" s="564" t="s">
        <v>1079</v>
      </c>
    </row>
    <row r="88" spans="2:24" ht="18" customHeight="1" thickBot="1" x14ac:dyDescent="0.25">
      <c r="B88" s="1861"/>
      <c r="C88" s="893" t="s">
        <v>1104</v>
      </c>
      <c r="D88" s="1498">
        <v>2</v>
      </c>
      <c r="E88" s="856">
        <v>0.66666666666666663</v>
      </c>
      <c r="F88">
        <v>0</v>
      </c>
      <c r="G88" s="856">
        <v>0</v>
      </c>
      <c r="H88">
        <v>1</v>
      </c>
      <c r="I88" s="879">
        <v>1</v>
      </c>
      <c r="J88" s="565">
        <f>$E$69*E88</f>
        <v>0.19999999999999998</v>
      </c>
      <c r="K88" s="565">
        <f>$E$68*G88</f>
        <v>0</v>
      </c>
      <c r="L88" s="867">
        <f>SUM(J88:K88)</f>
        <v>0.19999999999999998</v>
      </c>
      <c r="N88" s="1856"/>
      <c r="O88" s="112" t="s">
        <v>1026</v>
      </c>
      <c r="P88">
        <v>3</v>
      </c>
      <c r="Q88" s="64">
        <v>0.15789473684210525</v>
      </c>
      <c r="S88" s="64">
        <v>0</v>
      </c>
      <c r="T88">
        <v>3</v>
      </c>
      <c r="U88" s="64">
        <v>5.0847457627118647E-2</v>
      </c>
      <c r="V88" s="567">
        <f>E69*GETPIVOTDATA("Count of Kid 5-12_2",$O$85,"Purchase Intent","Prob Buy","Kid 5-12","Have Kid 5-12")</f>
        <v>0.16500000000000001</v>
      </c>
      <c r="W88" s="568">
        <f>E68*GETPIVOTDATA("Count of Kid 5-16_2",$O$96,"Purchase Intent","Def Buy","Kid 5-16","Have Kid 5-16")</f>
        <v>7.1111111111111111E-2</v>
      </c>
      <c r="X88" s="569">
        <f>SUM(V88:W88)</f>
        <v>0.2361111111111111</v>
      </c>
    </row>
    <row r="89" spans="2:24" ht="20.25" customHeight="1" x14ac:dyDescent="0.2">
      <c r="B89" s="1861"/>
      <c r="C89" s="893" t="s">
        <v>1105</v>
      </c>
      <c r="D89" s="1493">
        <v>2</v>
      </c>
      <c r="E89" s="853">
        <v>0.2857142857142857</v>
      </c>
      <c r="F89">
        <v>0</v>
      </c>
      <c r="G89" s="853">
        <v>0</v>
      </c>
      <c r="H89">
        <v>25</v>
      </c>
      <c r="I89" s="879">
        <v>1</v>
      </c>
      <c r="J89" s="565">
        <f>$E$69*E89</f>
        <v>8.5714285714285701E-2</v>
      </c>
      <c r="K89" s="565">
        <f>$E$68*G89</f>
        <v>0</v>
      </c>
      <c r="L89" s="867">
        <f>SUM(J89:K89)</f>
        <v>8.5714285714285701E-2</v>
      </c>
      <c r="N89" s="1856"/>
      <c r="O89" s="112" t="s">
        <v>1106</v>
      </c>
      <c r="P89">
        <v>2</v>
      </c>
      <c r="Q89" s="64">
        <v>0.10526315789473684</v>
      </c>
      <c r="R89">
        <v>5</v>
      </c>
      <c r="S89" s="64">
        <v>0.125</v>
      </c>
      <c r="T89">
        <v>7</v>
      </c>
      <c r="U89" s="64">
        <v>0.11864406779661017</v>
      </c>
      <c r="V89" s="496"/>
      <c r="W89" s="496"/>
      <c r="X89" s="64"/>
    </row>
    <row r="90" spans="2:24" x14ac:dyDescent="0.2">
      <c r="B90" s="1861"/>
      <c r="C90" s="893" t="s">
        <v>1107</v>
      </c>
      <c r="D90" s="1493">
        <v>8</v>
      </c>
      <c r="E90" s="853">
        <v>0.4</v>
      </c>
      <c r="F90">
        <v>1</v>
      </c>
      <c r="G90" s="853">
        <v>0.05</v>
      </c>
      <c r="H90">
        <v>28</v>
      </c>
      <c r="I90" s="879">
        <v>1</v>
      </c>
      <c r="J90" s="565">
        <f>$E$69*E90</f>
        <v>0.12</v>
      </c>
      <c r="K90" s="565">
        <f>$E$68*G90</f>
        <v>4.0000000000000008E-2</v>
      </c>
      <c r="L90" s="867">
        <f>SUM(J90:K90)</f>
        <v>0.16</v>
      </c>
      <c r="N90" s="1856"/>
      <c r="O90" s="112" t="s">
        <v>1028</v>
      </c>
      <c r="P90">
        <v>3</v>
      </c>
      <c r="Q90" s="64">
        <v>0.15789473684210525</v>
      </c>
      <c r="R90">
        <v>10</v>
      </c>
      <c r="S90" s="64">
        <v>0.25</v>
      </c>
      <c r="T90">
        <v>13</v>
      </c>
      <c r="U90" s="64">
        <v>0.22033898305084745</v>
      </c>
      <c r="V90" s="496"/>
      <c r="W90" s="496"/>
      <c r="X90" s="64"/>
    </row>
    <row r="91" spans="2:24" x14ac:dyDescent="0.2">
      <c r="B91" s="1861"/>
      <c r="C91" s="893" t="s">
        <v>1108</v>
      </c>
      <c r="D91" s="1493">
        <v>17</v>
      </c>
      <c r="E91" s="853">
        <v>0.77272727272727271</v>
      </c>
      <c r="F91">
        <v>2</v>
      </c>
      <c r="G91" s="853">
        <v>9.0909090909090912E-2</v>
      </c>
      <c r="H91">
        <v>5</v>
      </c>
      <c r="I91" s="879">
        <v>1</v>
      </c>
      <c r="J91" s="565">
        <f>$E$69*E91</f>
        <v>0.23181818181818181</v>
      </c>
      <c r="K91" s="565">
        <f>$E$68*G91</f>
        <v>7.2727272727272738E-2</v>
      </c>
      <c r="L91" s="867">
        <f>SUM(J91:K91)</f>
        <v>0.30454545454545456</v>
      </c>
      <c r="N91" s="1856"/>
      <c r="O91" s="112" t="s">
        <v>1064</v>
      </c>
      <c r="P91">
        <v>8</v>
      </c>
      <c r="Q91" s="64">
        <v>0.42105263157894735</v>
      </c>
      <c r="R91" s="115">
        <v>22</v>
      </c>
      <c r="S91" s="116">
        <v>0.55000000000000004</v>
      </c>
      <c r="T91">
        <v>30</v>
      </c>
      <c r="U91" s="64">
        <v>0.50847457627118642</v>
      </c>
      <c r="V91" s="496"/>
      <c r="W91" s="496"/>
      <c r="X91" s="64"/>
    </row>
    <row r="92" spans="2:24" ht="25" customHeight="1" x14ac:dyDescent="0.2">
      <c r="B92" s="1861"/>
      <c r="C92" s="857" t="s">
        <v>1109</v>
      </c>
      <c r="D92" s="1499">
        <v>1</v>
      </c>
      <c r="E92" s="854">
        <v>0.14285714285714285</v>
      </c>
      <c r="F92">
        <v>3</v>
      </c>
      <c r="G92" s="854">
        <v>0.42857142857142855</v>
      </c>
      <c r="H92">
        <v>1</v>
      </c>
      <c r="I92" s="499">
        <v>1</v>
      </c>
      <c r="J92" s="862">
        <f>$E$69*E92</f>
        <v>4.2857142857142851E-2</v>
      </c>
      <c r="K92" s="862">
        <f>$E$68*G92</f>
        <v>0.34285714285714286</v>
      </c>
      <c r="L92" s="869">
        <f>SUM(J92:K92)</f>
        <v>0.38571428571428573</v>
      </c>
      <c r="N92" s="1856"/>
      <c r="O92" s="112" t="s">
        <v>1030</v>
      </c>
      <c r="P92">
        <v>3</v>
      </c>
      <c r="Q92" s="64">
        <v>0.15789473684210525</v>
      </c>
      <c r="R92" s="115">
        <v>3</v>
      </c>
      <c r="S92" s="116">
        <v>7.4999999999999997E-2</v>
      </c>
      <c r="T92">
        <v>6</v>
      </c>
      <c r="U92" s="64">
        <v>0.10169491525423729</v>
      </c>
      <c r="V92" s="496"/>
      <c r="W92" s="496"/>
      <c r="X92" s="64"/>
    </row>
    <row r="93" spans="2:24" ht="20" thickBot="1" x14ac:dyDescent="0.3">
      <c r="B93" s="894" t="s">
        <v>1090</v>
      </c>
      <c r="C93" s="880" t="s">
        <v>1031</v>
      </c>
      <c r="D93" s="881">
        <v>30</v>
      </c>
      <c r="E93" s="882">
        <v>0.50847457627118642</v>
      </c>
      <c r="F93" s="881">
        <v>6</v>
      </c>
      <c r="G93" s="882">
        <v>0.10169491525423729</v>
      </c>
      <c r="H93" s="883">
        <v>59</v>
      </c>
      <c r="I93" s="884">
        <v>1</v>
      </c>
      <c r="L93" s="64"/>
      <c r="N93" s="1856"/>
      <c r="O93" s="112" t="s">
        <v>1031</v>
      </c>
      <c r="P93">
        <v>19</v>
      </c>
      <c r="Q93" s="64">
        <v>1</v>
      </c>
      <c r="R93">
        <v>40</v>
      </c>
      <c r="S93" s="64">
        <v>1</v>
      </c>
      <c r="T93">
        <v>59</v>
      </c>
      <c r="U93" s="64">
        <v>1</v>
      </c>
    </row>
    <row r="94" spans="2:24" x14ac:dyDescent="0.2">
      <c r="N94" s="1856"/>
      <c r="S94" s="215"/>
    </row>
    <row r="95" spans="2:24" x14ac:dyDescent="0.2">
      <c r="N95" s="1856"/>
    </row>
    <row r="96" spans="2:24" x14ac:dyDescent="0.2">
      <c r="N96" s="1856"/>
      <c r="P96" s="111" t="s">
        <v>1095</v>
      </c>
      <c r="Q96" s="111"/>
    </row>
    <row r="97" spans="2:24" ht="34" thickBot="1" x14ac:dyDescent="0.3">
      <c r="B97" s="1853" t="s">
        <v>1110</v>
      </c>
      <c r="C97" s="1853"/>
      <c r="D97" s="1853"/>
      <c r="E97" s="1853"/>
      <c r="F97" s="1853"/>
      <c r="G97" s="1853"/>
      <c r="H97" s="1853"/>
      <c r="I97" s="1853"/>
      <c r="N97" s="1856"/>
      <c r="P97" t="s">
        <v>1111</v>
      </c>
      <c r="R97" t="s">
        <v>1112</v>
      </c>
      <c r="T97" s="53" t="s">
        <v>1113</v>
      </c>
      <c r="U97" s="53" t="s">
        <v>1114</v>
      </c>
    </row>
    <row r="98" spans="2:24" ht="65.25" customHeight="1" thickBot="1" x14ac:dyDescent="0.25">
      <c r="B98" s="1863" t="s">
        <v>1115</v>
      </c>
      <c r="C98" s="892"/>
      <c r="D98" s="871" t="s">
        <v>1068</v>
      </c>
      <c r="E98" s="872"/>
      <c r="F98" s="872"/>
      <c r="G98" s="872"/>
      <c r="H98" s="872"/>
      <c r="I98" s="873"/>
      <c r="N98" s="1856"/>
      <c r="O98" s="111" t="s">
        <v>1101</v>
      </c>
      <c r="P98" t="s">
        <v>1116</v>
      </c>
      <c r="Q98" t="s">
        <v>1117</v>
      </c>
      <c r="R98" t="s">
        <v>1116</v>
      </c>
      <c r="S98" t="s">
        <v>1117</v>
      </c>
      <c r="V98" s="562" t="s">
        <v>1077</v>
      </c>
      <c r="W98" s="563" t="s">
        <v>1078</v>
      </c>
      <c r="X98" s="564" t="s">
        <v>1079</v>
      </c>
    </row>
    <row r="99" spans="2:24" ht="31" customHeight="1" thickBot="1" x14ac:dyDescent="0.25">
      <c r="B99" s="1863"/>
      <c r="C99" s="860"/>
      <c r="D99" s="861" t="s">
        <v>1029</v>
      </c>
      <c r="E99" s="861"/>
      <c r="F99" s="861" t="s">
        <v>1070</v>
      </c>
      <c r="G99" s="861"/>
      <c r="H99" s="861" t="s">
        <v>1071</v>
      </c>
      <c r="I99" s="875" t="s">
        <v>1072</v>
      </c>
      <c r="N99" s="1856"/>
      <c r="O99" s="112" t="s">
        <v>1026</v>
      </c>
      <c r="P99">
        <v>3</v>
      </c>
      <c r="Q99" s="64">
        <v>0.21428571428571427</v>
      </c>
      <c r="S99" s="64">
        <v>0</v>
      </c>
      <c r="T99">
        <v>3</v>
      </c>
      <c r="U99" s="64">
        <v>5.0847457627118647E-2</v>
      </c>
      <c r="V99" s="567">
        <f>E69*GETPIVOTDATA("Count of Kid 5-16_2",$O$96,"Purchase Intent","Prob Buy","Kid 5-16","Have Kid 5-16")</f>
        <v>0.16</v>
      </c>
      <c r="W99" s="568">
        <f>E68*GETPIVOTDATA("Count of Kid 5-16_2",$O$96,"Purchase Intent","Def Buy","Kid 5-16","Have Kid 5-16")</f>
        <v>7.1111111111111111E-2</v>
      </c>
      <c r="X99" s="569">
        <f>SUM(V99:W99)</f>
        <v>0.2311111111111111</v>
      </c>
    </row>
    <row r="100" spans="2:24" ht="49" thickBot="1" x14ac:dyDescent="0.25">
      <c r="B100" s="1863"/>
      <c r="C100" s="885" t="s">
        <v>1118</v>
      </c>
      <c r="D100" s="858" t="s">
        <v>1074</v>
      </c>
      <c r="E100" s="858" t="s">
        <v>1075</v>
      </c>
      <c r="F100" s="858" t="s">
        <v>1076</v>
      </c>
      <c r="G100" s="858" t="s">
        <v>1075</v>
      </c>
      <c r="H100" s="859"/>
      <c r="I100" s="859"/>
      <c r="J100" s="863" t="s">
        <v>1077</v>
      </c>
      <c r="K100" s="864" t="s">
        <v>1078</v>
      </c>
      <c r="L100" s="865" t="s">
        <v>1079</v>
      </c>
      <c r="N100" s="1856"/>
      <c r="O100" s="112" t="s">
        <v>1106</v>
      </c>
      <c r="P100">
        <v>1</v>
      </c>
      <c r="Q100" s="64">
        <v>7.1428571428571425E-2</v>
      </c>
      <c r="R100">
        <v>6</v>
      </c>
      <c r="S100" s="64">
        <v>0.13333333333333333</v>
      </c>
      <c r="T100">
        <v>7</v>
      </c>
      <c r="U100" s="64">
        <v>0.11864406779661017</v>
      </c>
      <c r="V100" s="496"/>
      <c r="W100" s="496"/>
      <c r="X100" s="64"/>
    </row>
    <row r="101" spans="2:24" x14ac:dyDescent="0.2">
      <c r="B101" s="1863"/>
      <c r="C101" s="893" t="s">
        <v>1119</v>
      </c>
      <c r="D101" s="1498">
        <v>22</v>
      </c>
      <c r="E101" s="856">
        <v>0.52380952380952384</v>
      </c>
      <c r="F101">
        <v>6</v>
      </c>
      <c r="G101" s="856">
        <v>0.14285714285714285</v>
      </c>
      <c r="H101">
        <v>42</v>
      </c>
      <c r="I101" s="855">
        <v>1</v>
      </c>
      <c r="J101" s="866">
        <f>$E$69*E101</f>
        <v>0.15714285714285714</v>
      </c>
      <c r="K101" s="565">
        <f>$E$68*G101</f>
        <v>0.11428571428571428</v>
      </c>
      <c r="L101" s="867">
        <f>SUM(J101:K101)</f>
        <v>0.27142857142857141</v>
      </c>
      <c r="N101" s="1856"/>
      <c r="O101" s="112" t="s">
        <v>1028</v>
      </c>
      <c r="P101">
        <v>2</v>
      </c>
      <c r="Q101" s="64">
        <v>0.14285714285714285</v>
      </c>
      <c r="R101">
        <v>11</v>
      </c>
      <c r="S101" s="64">
        <v>0.24444444444444444</v>
      </c>
      <c r="T101">
        <v>13</v>
      </c>
      <c r="U101" s="64">
        <v>0.22033898305084745</v>
      </c>
      <c r="V101" s="496"/>
      <c r="W101" s="496"/>
      <c r="X101" s="64"/>
    </row>
    <row r="102" spans="2:24" x14ac:dyDescent="0.2">
      <c r="B102" s="1863"/>
      <c r="C102" s="893" t="s">
        <v>1120</v>
      </c>
      <c r="D102" s="1499">
        <v>8</v>
      </c>
      <c r="E102" s="853">
        <v>0.47058823529411764</v>
      </c>
      <c r="F102">
        <v>0</v>
      </c>
      <c r="G102" s="853">
        <v>0</v>
      </c>
      <c r="H102">
        <v>17</v>
      </c>
      <c r="I102" s="855">
        <v>1</v>
      </c>
      <c r="J102" s="868">
        <f>$E$69*E102</f>
        <v>0.14117647058823529</v>
      </c>
      <c r="K102" s="862">
        <f>$E$68*G102</f>
        <v>0</v>
      </c>
      <c r="L102" s="869">
        <f>SUM(J102:K102)</f>
        <v>0.14117647058823529</v>
      </c>
      <c r="N102" s="1856"/>
      <c r="O102" s="112" t="s">
        <v>1064</v>
      </c>
      <c r="P102">
        <v>6</v>
      </c>
      <c r="Q102" s="64">
        <v>0.42857142857142855</v>
      </c>
      <c r="R102" s="115">
        <v>24</v>
      </c>
      <c r="S102" s="116">
        <v>0.53333333333333333</v>
      </c>
      <c r="T102">
        <v>30</v>
      </c>
      <c r="U102" s="64">
        <v>0.50847457627118642</v>
      </c>
      <c r="V102" s="496"/>
      <c r="W102" s="496"/>
      <c r="X102" s="64"/>
    </row>
    <row r="103" spans="2:24" ht="16" thickBot="1" x14ac:dyDescent="0.25">
      <c r="B103" s="1863"/>
      <c r="C103" s="880" t="s">
        <v>1031</v>
      </c>
      <c r="D103" s="881">
        <v>30</v>
      </c>
      <c r="E103" s="882">
        <v>0.50847457627118642</v>
      </c>
      <c r="F103" s="881">
        <v>6</v>
      </c>
      <c r="G103" s="882">
        <v>0.10169491525423729</v>
      </c>
      <c r="H103" s="883">
        <v>59</v>
      </c>
      <c r="I103" s="884">
        <v>1</v>
      </c>
      <c r="N103" s="1856"/>
      <c r="O103" s="112" t="s">
        <v>1030</v>
      </c>
      <c r="P103">
        <v>2</v>
      </c>
      <c r="Q103" s="64">
        <v>0.14285714285714285</v>
      </c>
      <c r="R103" s="115">
        <v>4</v>
      </c>
      <c r="S103" s="116">
        <v>8.8888888888888892E-2</v>
      </c>
      <c r="T103">
        <v>6</v>
      </c>
      <c r="U103" s="64">
        <v>0.10169491525423729</v>
      </c>
      <c r="V103" s="496"/>
      <c r="W103" s="496"/>
      <c r="X103" s="64"/>
    </row>
    <row r="104" spans="2:24" ht="50.25" customHeight="1" x14ac:dyDescent="0.2">
      <c r="N104" s="895" t="s">
        <v>1090</v>
      </c>
      <c r="O104" s="112" t="s">
        <v>1031</v>
      </c>
      <c r="P104">
        <v>14</v>
      </c>
      <c r="Q104" s="64">
        <v>1</v>
      </c>
      <c r="R104">
        <v>45</v>
      </c>
      <c r="S104" s="64">
        <v>1</v>
      </c>
      <c r="T104">
        <v>59</v>
      </c>
      <c r="U104" s="64">
        <v>1</v>
      </c>
    </row>
    <row r="105" spans="2:24" ht="46" customHeight="1" x14ac:dyDescent="0.2"/>
    <row r="106" spans="2:24" ht="33" customHeight="1" thickBot="1" x14ac:dyDescent="0.3">
      <c r="B106" s="1853" t="s">
        <v>1121</v>
      </c>
      <c r="C106" s="1853"/>
      <c r="D106" s="1853"/>
      <c r="E106" s="1853"/>
      <c r="F106" s="1853"/>
      <c r="G106" s="1853"/>
      <c r="H106" s="1853"/>
      <c r="I106" s="1853"/>
      <c r="N106" s="1853" t="s">
        <v>1091</v>
      </c>
      <c r="O106" s="1853"/>
      <c r="P106" s="1853"/>
      <c r="Q106" s="1853"/>
      <c r="R106" s="1853"/>
      <c r="S106" s="1853"/>
      <c r="T106" s="1853"/>
      <c r="U106" s="1853"/>
    </row>
    <row r="107" spans="2:24" ht="15" customHeight="1" x14ac:dyDescent="0.2">
      <c r="B107" s="1489"/>
      <c r="C107" s="892"/>
      <c r="D107" s="871" t="s">
        <v>1068</v>
      </c>
      <c r="E107" s="872"/>
      <c r="F107" s="872"/>
      <c r="G107" s="872"/>
      <c r="H107" s="872"/>
      <c r="I107" s="873"/>
      <c r="N107" s="1862" t="s">
        <v>1122</v>
      </c>
      <c r="O107" s="892"/>
      <c r="P107" s="871" t="s">
        <v>1068</v>
      </c>
      <c r="Q107" s="872"/>
      <c r="R107" s="872"/>
      <c r="S107" s="872"/>
      <c r="T107" s="872"/>
      <c r="U107" s="873"/>
    </row>
    <row r="108" spans="2:24" ht="176" x14ac:dyDescent="0.2">
      <c r="B108" s="1864" t="s">
        <v>1123</v>
      </c>
      <c r="C108" s="860"/>
      <c r="D108" s="861" t="s">
        <v>1029</v>
      </c>
      <c r="E108" s="861"/>
      <c r="F108" s="861" t="s">
        <v>1070</v>
      </c>
      <c r="G108" s="861"/>
      <c r="H108" s="861" t="s">
        <v>1071</v>
      </c>
      <c r="I108" s="875" t="s">
        <v>1072</v>
      </c>
      <c r="N108" s="1862"/>
      <c r="O108" s="860"/>
      <c r="P108" s="861" t="s">
        <v>1029</v>
      </c>
      <c r="Q108" s="861"/>
      <c r="R108" s="861" t="s">
        <v>1070</v>
      </c>
      <c r="S108" s="861"/>
      <c r="T108" s="861" t="s">
        <v>1071</v>
      </c>
      <c r="U108" s="875" t="s">
        <v>1072</v>
      </c>
    </row>
    <row r="109" spans="2:24" ht="65" thickBot="1" x14ac:dyDescent="0.25">
      <c r="B109" s="1864"/>
      <c r="C109" s="885" t="s">
        <v>1124</v>
      </c>
      <c r="D109" s="858" t="s">
        <v>1074</v>
      </c>
      <c r="E109" s="858" t="s">
        <v>1075</v>
      </c>
      <c r="F109" s="858" t="s">
        <v>1076</v>
      </c>
      <c r="G109" s="858" t="s">
        <v>1075</v>
      </c>
      <c r="H109" s="859"/>
      <c r="I109" s="877"/>
      <c r="N109" s="1862"/>
      <c r="O109" s="885" t="s">
        <v>1125</v>
      </c>
      <c r="P109" s="858" t="s">
        <v>1074</v>
      </c>
      <c r="Q109" s="858" t="s">
        <v>1075</v>
      </c>
      <c r="R109" s="858" t="s">
        <v>1076</v>
      </c>
      <c r="S109" s="858" t="s">
        <v>1075</v>
      </c>
      <c r="T109" s="859"/>
      <c r="U109" s="877"/>
      <c r="V109" s="864" t="s">
        <v>1077</v>
      </c>
      <c r="W109" s="864" t="s">
        <v>1078</v>
      </c>
      <c r="X109" s="865" t="s">
        <v>1079</v>
      </c>
    </row>
    <row r="110" spans="2:24" x14ac:dyDescent="0.2">
      <c r="B110" s="1864"/>
      <c r="C110" s="893" t="s">
        <v>1126</v>
      </c>
      <c r="D110" s="897">
        <v>3</v>
      </c>
      <c r="E110" s="856">
        <v>0.1</v>
      </c>
      <c r="F110">
        <v>1</v>
      </c>
      <c r="G110" s="898">
        <v>0.16666666666666666</v>
      </c>
      <c r="H110" s="897">
        <v>4</v>
      </c>
      <c r="I110" s="898">
        <v>0.1111111111111111</v>
      </c>
      <c r="N110" s="1862"/>
      <c r="O110" s="1500" t="s">
        <v>1127</v>
      </c>
      <c r="P110">
        <v>1</v>
      </c>
      <c r="Q110" s="856">
        <v>0.25</v>
      </c>
      <c r="S110" s="856">
        <v>0</v>
      </c>
      <c r="T110">
        <v>4</v>
      </c>
      <c r="U110" s="879">
        <v>1</v>
      </c>
      <c r="V110" s="565">
        <f>$E$69*Q110</f>
        <v>7.4999999999999997E-2</v>
      </c>
      <c r="W110" s="565">
        <f>$E$68*S110</f>
        <v>0</v>
      </c>
      <c r="X110" s="867">
        <f>SUM(V110:W110)</f>
        <v>7.4999999999999997E-2</v>
      </c>
    </row>
    <row r="111" spans="2:24" x14ac:dyDescent="0.2">
      <c r="B111" s="1864"/>
      <c r="C111" s="893" t="s">
        <v>1128</v>
      </c>
      <c r="D111" s="536">
        <v>13</v>
      </c>
      <c r="E111" s="853">
        <v>0.43333333333333335</v>
      </c>
      <c r="G111" s="899">
        <v>0</v>
      </c>
      <c r="H111" s="536">
        <v>13</v>
      </c>
      <c r="I111" s="901">
        <v>0.3611111111111111</v>
      </c>
      <c r="N111" s="1862"/>
      <c r="O111" s="112" t="s">
        <v>1129</v>
      </c>
      <c r="P111">
        <v>1</v>
      </c>
      <c r="Q111" s="853">
        <v>0.25</v>
      </c>
      <c r="R111">
        <v>1</v>
      </c>
      <c r="S111" s="853">
        <v>0.25</v>
      </c>
      <c r="T111">
        <v>4</v>
      </c>
      <c r="U111" s="879">
        <v>1</v>
      </c>
      <c r="V111" s="565">
        <f>$E$69*Q111</f>
        <v>7.4999999999999997E-2</v>
      </c>
      <c r="W111" s="565">
        <f>$E$68*S111</f>
        <v>0.2</v>
      </c>
      <c r="X111" s="867">
        <f>SUM(V111:W111)</f>
        <v>0.27500000000000002</v>
      </c>
    </row>
    <row r="112" spans="2:24" x14ac:dyDescent="0.2">
      <c r="B112" s="1864"/>
      <c r="C112" s="893" t="s">
        <v>1130</v>
      </c>
      <c r="D112" s="536">
        <v>6</v>
      </c>
      <c r="E112" s="853">
        <v>0.2</v>
      </c>
      <c r="F112">
        <v>1</v>
      </c>
      <c r="G112" s="899">
        <v>0.16666666666666666</v>
      </c>
      <c r="H112" s="536">
        <v>7</v>
      </c>
      <c r="I112" s="899">
        <v>0.19444444444444445</v>
      </c>
      <c r="N112" s="1862"/>
      <c r="O112" s="112" t="s">
        <v>1131</v>
      </c>
      <c r="P112">
        <v>11</v>
      </c>
      <c r="Q112" s="853">
        <v>0.57894736842105265</v>
      </c>
      <c r="R112">
        <v>1</v>
      </c>
      <c r="S112" s="853">
        <v>5.2631578947368418E-2</v>
      </c>
      <c r="T112">
        <v>19</v>
      </c>
      <c r="U112" s="879">
        <v>1</v>
      </c>
      <c r="V112" s="565">
        <f>$E$69*Q112</f>
        <v>0.1736842105263158</v>
      </c>
      <c r="W112" s="565">
        <f>$E$68*S112</f>
        <v>4.2105263157894736E-2</v>
      </c>
      <c r="X112" s="867">
        <f>SUM(V112:W112)</f>
        <v>0.21578947368421053</v>
      </c>
    </row>
    <row r="113" spans="2:24" x14ac:dyDescent="0.2">
      <c r="B113" s="1864"/>
      <c r="C113" s="893" t="s">
        <v>1132</v>
      </c>
      <c r="D113" s="536">
        <v>5</v>
      </c>
      <c r="E113" s="853">
        <v>0.16666666666666666</v>
      </c>
      <c r="F113">
        <v>4</v>
      </c>
      <c r="G113" s="899">
        <v>0.66666666666666663</v>
      </c>
      <c r="H113" s="536">
        <v>9</v>
      </c>
      <c r="I113" s="899">
        <v>0.25</v>
      </c>
      <c r="N113" s="1862"/>
      <c r="O113" s="112" t="s">
        <v>1133</v>
      </c>
      <c r="P113">
        <v>12</v>
      </c>
      <c r="Q113" s="853">
        <v>0.54545454545454541</v>
      </c>
      <c r="R113">
        <v>2</v>
      </c>
      <c r="S113" s="853">
        <v>9.0909090909090912E-2</v>
      </c>
      <c r="T113">
        <v>22</v>
      </c>
      <c r="U113" s="879">
        <v>1</v>
      </c>
      <c r="V113" s="565">
        <f>$E$69*Q113</f>
        <v>0.16363636363636361</v>
      </c>
      <c r="W113" s="565">
        <f>$E$68*S113</f>
        <v>7.2727272727272738E-2</v>
      </c>
      <c r="X113" s="867">
        <f>SUM(V113:W113)</f>
        <v>0.23636363636363633</v>
      </c>
    </row>
    <row r="114" spans="2:24" x14ac:dyDescent="0.2">
      <c r="B114" s="1864"/>
      <c r="C114" s="893" t="s">
        <v>1134</v>
      </c>
      <c r="D114" s="536">
        <v>2</v>
      </c>
      <c r="E114" s="853">
        <v>6.6666666666666666E-2</v>
      </c>
      <c r="G114" s="899">
        <v>0</v>
      </c>
      <c r="H114" s="536">
        <v>2</v>
      </c>
      <c r="I114" s="899">
        <v>5.5555555555555552E-2</v>
      </c>
      <c r="N114" s="1862"/>
      <c r="O114" s="112" t="s">
        <v>1135</v>
      </c>
      <c r="P114">
        <v>5</v>
      </c>
      <c r="Q114" s="854">
        <v>0.5</v>
      </c>
      <c r="R114">
        <v>2</v>
      </c>
      <c r="S114" s="854">
        <v>0.2</v>
      </c>
      <c r="T114">
        <v>10</v>
      </c>
      <c r="U114" s="499">
        <v>1</v>
      </c>
      <c r="V114" s="862">
        <f>$E$69*Q114</f>
        <v>0.15</v>
      </c>
      <c r="W114" s="862">
        <f>$E$68*S114</f>
        <v>0.16000000000000003</v>
      </c>
      <c r="X114" s="869">
        <f>SUM(V114:W114)</f>
        <v>0.31000000000000005</v>
      </c>
    </row>
    <row r="115" spans="2:24" ht="20" thickBot="1" x14ac:dyDescent="0.3">
      <c r="B115" s="1864"/>
      <c r="C115" s="893" t="s">
        <v>1136</v>
      </c>
      <c r="D115" s="537">
        <v>1</v>
      </c>
      <c r="E115" s="124">
        <v>3.3333333333333333E-2</v>
      </c>
      <c r="G115" s="900">
        <v>0</v>
      </c>
      <c r="H115" s="537">
        <v>1</v>
      </c>
      <c r="I115" s="900">
        <v>2.7777777777777776E-2</v>
      </c>
      <c r="N115" s="894"/>
      <c r="O115" s="880" t="s">
        <v>1031</v>
      </c>
      <c r="P115" s="881">
        <v>30</v>
      </c>
      <c r="Q115" s="882">
        <v>0.50847457627118642</v>
      </c>
      <c r="R115" s="881">
        <v>6</v>
      </c>
      <c r="S115" s="882">
        <v>0.10169491525423729</v>
      </c>
      <c r="T115" s="883">
        <v>59</v>
      </c>
      <c r="U115" s="884">
        <v>1</v>
      </c>
      <c r="X115" s="64"/>
    </row>
    <row r="116" spans="2:24" ht="16" thickBot="1" x14ac:dyDescent="0.25">
      <c r="B116" s="896"/>
      <c r="C116" s="902" t="s">
        <v>1031</v>
      </c>
      <c r="D116" s="881">
        <v>30</v>
      </c>
      <c r="E116" s="882">
        <v>1</v>
      </c>
      <c r="F116" s="881">
        <v>6</v>
      </c>
      <c r="G116" s="882">
        <v>0.10169491525423729</v>
      </c>
      <c r="H116" s="883">
        <v>59</v>
      </c>
      <c r="I116" s="884">
        <v>1</v>
      </c>
    </row>
    <row r="118" spans="2:24" ht="48" customHeight="1" x14ac:dyDescent="0.2"/>
    <row r="126" spans="2:24" x14ac:dyDescent="0.2">
      <c r="B126" s="896"/>
    </row>
    <row r="128" spans="2:24" ht="32" x14ac:dyDescent="0.2">
      <c r="F128" s="1490" t="s">
        <v>1073</v>
      </c>
      <c r="G128" s="1491" t="s">
        <v>1077</v>
      </c>
      <c r="H128" s="1491" t="s">
        <v>1078</v>
      </c>
      <c r="I128" s="1492" t="s">
        <v>1079</v>
      </c>
    </row>
    <row r="129" spans="2:20" x14ac:dyDescent="0.2">
      <c r="F129" s="1493" t="s">
        <v>1081</v>
      </c>
      <c r="G129" s="64">
        <v>0</v>
      </c>
      <c r="H129" s="64">
        <v>0</v>
      </c>
      <c r="I129" s="1494">
        <v>0</v>
      </c>
      <c r="P129" s="599"/>
      <c r="Q129" s="599"/>
      <c r="R129" s="599"/>
    </row>
    <row r="130" spans="2:20" x14ac:dyDescent="0.2">
      <c r="F130" s="1493" t="s">
        <v>1083</v>
      </c>
      <c r="G130" s="64">
        <v>0.156</v>
      </c>
      <c r="H130" s="64">
        <v>6.4000000000000001E-2</v>
      </c>
      <c r="I130" s="1494">
        <v>0.22</v>
      </c>
      <c r="P130" s="496"/>
      <c r="Q130" s="496"/>
      <c r="R130" s="64"/>
    </row>
    <row r="131" spans="2:20" x14ac:dyDescent="0.2">
      <c r="F131" s="1493" t="s">
        <v>1085</v>
      </c>
      <c r="G131" s="64">
        <v>0.13928571428571429</v>
      </c>
      <c r="H131" s="64">
        <v>8.5714285714285715E-2</v>
      </c>
      <c r="I131" s="1494">
        <v>0.22500000000000001</v>
      </c>
      <c r="P131" s="496"/>
      <c r="Q131" s="496"/>
      <c r="R131" s="64"/>
    </row>
    <row r="132" spans="2:20" x14ac:dyDescent="0.2">
      <c r="F132" s="1495" t="s">
        <v>1087</v>
      </c>
      <c r="G132" s="1496">
        <v>0.24</v>
      </c>
      <c r="H132" s="1496">
        <v>0.16000000000000003</v>
      </c>
      <c r="I132" s="1497">
        <v>0.4</v>
      </c>
      <c r="P132" s="496"/>
      <c r="R132" s="64"/>
    </row>
    <row r="134" spans="2:20" ht="19" x14ac:dyDescent="0.25">
      <c r="B134" s="1859"/>
      <c r="C134" s="1860"/>
      <c r="D134" s="1860"/>
      <c r="E134" s="1860"/>
      <c r="F134" s="1860"/>
      <c r="G134" s="1860"/>
    </row>
    <row r="135" spans="2:20" x14ac:dyDescent="0.2">
      <c r="B135" s="903"/>
    </row>
    <row r="136" spans="2:20" x14ac:dyDescent="0.2">
      <c r="B136" s="903"/>
    </row>
    <row r="137" spans="2:20" x14ac:dyDescent="0.2">
      <c r="B137" s="903"/>
      <c r="P137" s="599"/>
      <c r="Q137" s="599"/>
      <c r="R137" s="599"/>
    </row>
    <row r="138" spans="2:20" x14ac:dyDescent="0.2">
      <c r="B138" s="903"/>
      <c r="P138" s="643"/>
      <c r="Q138" s="643"/>
      <c r="R138" s="64"/>
    </row>
    <row r="139" spans="2:20" x14ac:dyDescent="0.2">
      <c r="B139" s="903"/>
      <c r="P139" s="643"/>
      <c r="Q139" s="643"/>
      <c r="R139" s="64"/>
    </row>
    <row r="140" spans="2:20" x14ac:dyDescent="0.2">
      <c r="B140" s="903"/>
      <c r="P140" s="643"/>
      <c r="Q140" s="643"/>
      <c r="R140" s="64"/>
    </row>
    <row r="141" spans="2:20" x14ac:dyDescent="0.2">
      <c r="B141" s="903"/>
      <c r="P141" s="643"/>
      <c r="Q141" s="643"/>
      <c r="R141" s="64"/>
    </row>
    <row r="142" spans="2:20" x14ac:dyDescent="0.2">
      <c r="B142" s="903"/>
      <c r="P142" s="643"/>
      <c r="Q142" s="643"/>
      <c r="R142" s="64"/>
    </row>
    <row r="143" spans="2:20" x14ac:dyDescent="0.2">
      <c r="B143" s="903"/>
      <c r="S143" s="496"/>
      <c r="T143" s="64"/>
    </row>
    <row r="144" spans="2:20" x14ac:dyDescent="0.2">
      <c r="R144" s="496"/>
      <c r="S144" s="496"/>
      <c r="T144" s="64"/>
    </row>
    <row r="147" spans="2:20" ht="52" customHeight="1" x14ac:dyDescent="0.2">
      <c r="B147" s="903"/>
      <c r="R147" s="599"/>
      <c r="S147" s="599"/>
      <c r="T147" s="599"/>
    </row>
    <row r="148" spans="2:20" x14ac:dyDescent="0.2">
      <c r="B148" s="903"/>
      <c r="R148" s="496"/>
      <c r="S148" s="496"/>
      <c r="T148" s="64"/>
    </row>
    <row r="149" spans="2:20" x14ac:dyDescent="0.2">
      <c r="B149" s="903"/>
      <c r="R149" s="496"/>
      <c r="S149" s="496"/>
      <c r="T149" s="64"/>
    </row>
    <row r="150" spans="2:20" x14ac:dyDescent="0.2">
      <c r="B150" s="903"/>
      <c r="R150" s="496"/>
      <c r="S150" s="496"/>
      <c r="T150" s="64"/>
    </row>
    <row r="151" spans="2:20" x14ac:dyDescent="0.2">
      <c r="B151" s="903"/>
      <c r="R151" s="496"/>
      <c r="S151" s="496"/>
      <c r="T151" s="64"/>
    </row>
    <row r="152" spans="2:20" x14ac:dyDescent="0.2">
      <c r="B152" s="903"/>
      <c r="R152" s="496"/>
      <c r="S152" s="496"/>
      <c r="T152" s="64"/>
    </row>
    <row r="153" spans="2:20" x14ac:dyDescent="0.2">
      <c r="B153" s="903"/>
    </row>
    <row r="154" spans="2:20" x14ac:dyDescent="0.2">
      <c r="B154" s="903"/>
    </row>
    <row r="155" spans="2:20" x14ac:dyDescent="0.2">
      <c r="B155" s="903"/>
    </row>
    <row r="158" spans="2:20" ht="8.25" customHeight="1" x14ac:dyDescent="0.2"/>
    <row r="169" spans="18:20" x14ac:dyDescent="0.2">
      <c r="R169" s="599"/>
      <c r="S169" s="599"/>
      <c r="T169" s="599"/>
    </row>
    <row r="170" spans="18:20" x14ac:dyDescent="0.2">
      <c r="R170" s="496"/>
      <c r="S170" s="496"/>
      <c r="T170" s="64"/>
    </row>
    <row r="171" spans="18:20" x14ac:dyDescent="0.2">
      <c r="R171" s="496"/>
      <c r="S171" s="496"/>
      <c r="T171" s="64"/>
    </row>
    <row r="172" spans="18:20" x14ac:dyDescent="0.2">
      <c r="R172" s="496"/>
      <c r="S172" s="496"/>
      <c r="T172" s="64"/>
    </row>
    <row r="173" spans="18:20" x14ac:dyDescent="0.2">
      <c r="R173" s="496"/>
      <c r="S173" s="496"/>
      <c r="T173" s="64"/>
    </row>
    <row r="174" spans="18:20" x14ac:dyDescent="0.2">
      <c r="R174" s="496"/>
      <c r="S174" s="496"/>
      <c r="T174" s="64"/>
    </row>
    <row r="180" spans="9:14" x14ac:dyDescent="0.2">
      <c r="L180" s="599"/>
      <c r="M180" s="599"/>
      <c r="N180" s="599"/>
    </row>
    <row r="181" spans="9:14" x14ac:dyDescent="0.2">
      <c r="L181" s="643"/>
      <c r="M181" s="643"/>
      <c r="N181" s="64"/>
    </row>
    <row r="182" spans="9:14" x14ac:dyDescent="0.2">
      <c r="L182" s="643"/>
      <c r="M182" s="643"/>
      <c r="N182" s="64"/>
    </row>
    <row r="183" spans="9:14" x14ac:dyDescent="0.2">
      <c r="L183" s="643"/>
      <c r="M183" s="643"/>
      <c r="N183" s="64"/>
    </row>
    <row r="184" spans="9:14" x14ac:dyDescent="0.2">
      <c r="L184" s="643"/>
      <c r="M184" s="643"/>
      <c r="N184" s="64"/>
    </row>
    <row r="185" spans="9:14" x14ac:dyDescent="0.2">
      <c r="L185" s="643"/>
      <c r="M185" s="643"/>
      <c r="N185" s="64"/>
    </row>
    <row r="187" spans="9:14" x14ac:dyDescent="0.2">
      <c r="I187" s="643"/>
    </row>
    <row r="191" spans="9:14" x14ac:dyDescent="0.2">
      <c r="L191" s="599"/>
      <c r="M191" s="599"/>
      <c r="N191" s="599"/>
    </row>
    <row r="192" spans="9:14" x14ac:dyDescent="0.2">
      <c r="L192" s="643"/>
      <c r="M192" s="643"/>
      <c r="N192" s="64"/>
    </row>
    <row r="193" spans="9:20" x14ac:dyDescent="0.2">
      <c r="L193" s="643"/>
      <c r="M193" s="643"/>
      <c r="N193" s="64"/>
    </row>
    <row r="194" spans="9:20" x14ac:dyDescent="0.2">
      <c r="L194" s="643"/>
      <c r="M194" s="643"/>
      <c r="N194" s="64"/>
    </row>
    <row r="195" spans="9:20" x14ac:dyDescent="0.2">
      <c r="L195" s="643"/>
      <c r="M195" s="643"/>
      <c r="N195" s="64"/>
    </row>
    <row r="196" spans="9:20" x14ac:dyDescent="0.2">
      <c r="L196" s="643"/>
      <c r="M196" s="643"/>
      <c r="N196" s="64"/>
    </row>
    <row r="198" spans="9:20" x14ac:dyDescent="0.2">
      <c r="I198" s="643"/>
    </row>
    <row r="202" spans="9:20" x14ac:dyDescent="0.2">
      <c r="R202" s="599"/>
      <c r="S202" s="599"/>
      <c r="T202" s="599"/>
    </row>
    <row r="203" spans="9:20" x14ac:dyDescent="0.2">
      <c r="R203" s="643"/>
      <c r="S203" s="643"/>
      <c r="T203" s="64"/>
    </row>
    <row r="204" spans="9:20" x14ac:dyDescent="0.2">
      <c r="R204" s="643"/>
      <c r="S204" s="643"/>
      <c r="T204" s="64"/>
    </row>
    <row r="205" spans="9:20" x14ac:dyDescent="0.2">
      <c r="R205" s="643"/>
      <c r="S205" s="643"/>
      <c r="T205" s="64"/>
    </row>
    <row r="206" spans="9:20" x14ac:dyDescent="0.2">
      <c r="R206" s="643"/>
      <c r="S206" s="643"/>
      <c r="T206" s="64"/>
    </row>
  </sheetData>
  <mergeCells count="19">
    <mergeCell ref="B134:G134"/>
    <mergeCell ref="B85:B92"/>
    <mergeCell ref="N85:N103"/>
    <mergeCell ref="N107:N114"/>
    <mergeCell ref="B98:B103"/>
    <mergeCell ref="B108:B115"/>
    <mergeCell ref="B97:I97"/>
    <mergeCell ref="B106:I106"/>
    <mergeCell ref="N106:U106"/>
    <mergeCell ref="B3:T3"/>
    <mergeCell ref="B73:I73"/>
    <mergeCell ref="N73:U73"/>
    <mergeCell ref="B84:I84"/>
    <mergeCell ref="N84:U84"/>
    <mergeCell ref="C5:I6"/>
    <mergeCell ref="N74:N82"/>
    <mergeCell ref="D29:H31"/>
    <mergeCell ref="B56:G62"/>
    <mergeCell ref="B74:B81"/>
  </mergeCells>
  <hyperlinks>
    <hyperlink ref="B1" location="Index!A1" display="Back to Index" xr:uid="{908298A6-6BAB-4BB6-8A1C-39357DCA7754}"/>
  </hyperlinks>
  <pageMargins left="0.7" right="0.7" top="0.75" bottom="0.75" header="0.3" footer="0.3"/>
  <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D3D7-2874-8649-95B9-BD76A1A1F599}">
  <sheetPr>
    <tabColor rgb="FF00B0F0"/>
  </sheetPr>
  <dimension ref="B1:BI298"/>
  <sheetViews>
    <sheetView showGridLines="0" topLeftCell="A15" zoomScale="136" workbookViewId="0">
      <selection activeCell="B17" sqref="B17:B24"/>
    </sheetView>
  </sheetViews>
  <sheetFormatPr baseColWidth="10" defaultColWidth="11" defaultRowHeight="15" x14ac:dyDescent="0.2"/>
  <cols>
    <col min="1" max="1" width="1.83203125" customWidth="1"/>
    <col min="2" max="2" width="40.33203125" customWidth="1"/>
    <col min="3" max="3" width="39" hidden="1" customWidth="1"/>
    <col min="4" max="4" width="6" hidden="1" customWidth="1"/>
    <col min="5" max="5" width="0.1640625" customWidth="1"/>
    <col min="6" max="6" width="33" customWidth="1"/>
    <col min="7" max="7" width="26.83203125" customWidth="1"/>
    <col min="8" max="8" width="19.6640625" customWidth="1"/>
    <col min="9" max="9" width="26.83203125" customWidth="1"/>
    <col min="10" max="10" width="37.6640625" customWidth="1"/>
    <col min="11" max="12" width="6.1640625" customWidth="1"/>
    <col min="13" max="13" width="4.33203125" customWidth="1"/>
    <col min="14" max="14" width="7.5" customWidth="1"/>
    <col min="15" max="15" width="6" customWidth="1"/>
    <col min="16" max="16" width="7.83203125" customWidth="1"/>
    <col min="17" max="17" width="8.1640625" customWidth="1"/>
    <col min="18" max="18" width="15" style="86" customWidth="1"/>
    <col min="19" max="19" width="12" customWidth="1"/>
    <col min="20" max="20" width="14.1640625" style="64" customWidth="1"/>
  </cols>
  <sheetData>
    <row r="1" spans="2:61" x14ac:dyDescent="0.2">
      <c r="B1" s="56" t="s">
        <v>37</v>
      </c>
    </row>
    <row r="2" spans="2:61" x14ac:dyDescent="0.2">
      <c r="B2" s="56"/>
    </row>
    <row r="3" spans="2:61" x14ac:dyDescent="0.2">
      <c r="B3" s="1865" t="s">
        <v>1137</v>
      </c>
      <c r="C3" s="1865"/>
      <c r="D3" s="1865"/>
      <c r="E3" s="1865"/>
      <c r="F3" s="1865"/>
      <c r="G3" s="1865"/>
      <c r="H3" s="1865"/>
      <c r="I3" s="1865"/>
      <c r="J3" s="1865"/>
      <c r="K3" s="1865"/>
      <c r="L3" s="1865"/>
      <c r="M3" s="1865"/>
      <c r="N3" s="1865"/>
      <c r="O3" s="1865"/>
      <c r="P3" s="1865"/>
      <c r="Q3" s="1865"/>
      <c r="R3" s="1865"/>
      <c r="S3" s="1865"/>
      <c r="T3" s="1865"/>
    </row>
    <row r="6" spans="2:61" ht="19" x14ac:dyDescent="0.25">
      <c r="B6" s="1257" t="s">
        <v>188</v>
      </c>
      <c r="C6" s="642"/>
      <c r="D6" s="642"/>
      <c r="E6" s="642"/>
      <c r="F6" s="1257" t="s">
        <v>787</v>
      </c>
      <c r="G6" s="1257" t="s">
        <v>788</v>
      </c>
      <c r="H6" s="1257" t="s">
        <v>789</v>
      </c>
      <c r="I6" s="1257" t="s">
        <v>790</v>
      </c>
      <c r="J6" s="1257" t="s">
        <v>791</v>
      </c>
      <c r="K6" s="964"/>
    </row>
    <row r="7" spans="2:61" ht="19" x14ac:dyDescent="0.25">
      <c r="B7" s="1501" t="s">
        <v>801</v>
      </c>
      <c r="C7" s="1502" t="s">
        <v>1138</v>
      </c>
      <c r="D7" s="1502"/>
      <c r="E7" s="1502"/>
      <c r="F7" s="1503">
        <f>T54</f>
        <v>7.0800000000000002E-2</v>
      </c>
      <c r="G7" s="1503">
        <f>T104</f>
        <v>0.11552788037831878</v>
      </c>
      <c r="H7" s="1503">
        <f>T154</f>
        <v>0.22599816595833735</v>
      </c>
      <c r="I7" s="1504">
        <f>T223</f>
        <v>0.28163940665543019</v>
      </c>
      <c r="J7" s="1505">
        <f>T294</f>
        <v>0.30987634925741753</v>
      </c>
      <c r="K7" s="964"/>
    </row>
    <row r="8" spans="2:61" ht="44" customHeight="1" x14ac:dyDescent="0.25">
      <c r="B8" s="1506" t="s">
        <v>490</v>
      </c>
      <c r="C8" s="964" t="s">
        <v>1139</v>
      </c>
      <c r="D8" s="964"/>
      <c r="E8" s="964"/>
      <c r="F8" s="1507">
        <f>R54</f>
        <v>182271.95200000002</v>
      </c>
      <c r="G8" s="1508">
        <f>R104</f>
        <v>180588.6</v>
      </c>
      <c r="H8" s="1034">
        <f>R154</f>
        <v>265810.08799999999</v>
      </c>
      <c r="I8" s="1034">
        <f>R223</f>
        <v>362405.4</v>
      </c>
      <c r="J8" s="1509">
        <f>R294</f>
        <v>383749.72639999999</v>
      </c>
      <c r="K8" s="964"/>
    </row>
    <row r="9" spans="2:61" ht="272.5" customHeight="1" x14ac:dyDescent="0.25">
      <c r="B9" s="1510" t="s">
        <v>1140</v>
      </c>
      <c r="C9" s="1511" t="s">
        <v>787</v>
      </c>
      <c r="D9" s="1512"/>
      <c r="E9" s="1512"/>
      <c r="F9" s="1515" t="s">
        <v>1141</v>
      </c>
      <c r="G9" s="1514" t="s">
        <v>1142</v>
      </c>
      <c r="H9" s="1514" t="s">
        <v>1143</v>
      </c>
      <c r="I9" s="1514" t="s">
        <v>1144</v>
      </c>
      <c r="J9" s="1513" t="s">
        <v>1145</v>
      </c>
    </row>
    <row r="10" spans="2:61" ht="21" customHeight="1" x14ac:dyDescent="0.2">
      <c r="C10" s="964"/>
      <c r="D10" s="964"/>
      <c r="E10" s="964"/>
      <c r="F10" s="964"/>
      <c r="G10" s="964"/>
      <c r="H10" s="964"/>
      <c r="I10" s="964"/>
      <c r="J10" s="964"/>
      <c r="K10" s="964"/>
    </row>
    <row r="11" spans="2:61" s="958" customFormat="1" ht="21" hidden="1" thickBot="1" x14ac:dyDescent="0.3">
      <c r="B11" s="963" t="s">
        <v>1146</v>
      </c>
      <c r="C11" s="646" t="s">
        <v>1147</v>
      </c>
      <c r="D11" s="646"/>
      <c r="E11" s="646"/>
      <c r="F11" s="646"/>
      <c r="G11" s="646"/>
      <c r="H11" s="646"/>
      <c r="I11" s="646"/>
      <c r="J11" s="646"/>
      <c r="K11" s="646"/>
      <c r="L11" s="646"/>
      <c r="M11" s="646"/>
      <c r="N11" s="646"/>
      <c r="O11" s="646"/>
      <c r="P11" s="646"/>
      <c r="Q11" s="646"/>
      <c r="R11" s="647"/>
      <c r="S11" s="646"/>
      <c r="T11" s="648"/>
      <c r="U11" s="961"/>
      <c r="V11" s="961"/>
      <c r="W11" s="961"/>
      <c r="X11" s="961"/>
      <c r="Y11" s="961"/>
      <c r="Z11" s="961"/>
      <c r="AA11" s="961"/>
      <c r="AB11" s="961"/>
      <c r="AC11" s="961"/>
      <c r="AD11" s="961"/>
      <c r="AE11" s="961"/>
      <c r="AF11" s="961"/>
      <c r="AG11" s="961"/>
      <c r="AH11" s="961"/>
      <c r="AI11" s="961"/>
      <c r="AJ11" s="961"/>
      <c r="AK11" s="961"/>
      <c r="AL11" s="961"/>
      <c r="AM11" s="961"/>
      <c r="AN11" s="961"/>
      <c r="AO11" s="961"/>
      <c r="AP11" s="961"/>
      <c r="AQ11" s="961"/>
      <c r="AR11" s="961"/>
      <c r="AS11" s="961"/>
      <c r="AT11" s="961"/>
      <c r="AU11" s="961"/>
      <c r="AV11" s="961"/>
      <c r="AW11" s="961"/>
      <c r="AX11" s="961"/>
      <c r="AY11" s="961"/>
      <c r="AZ11" s="961"/>
      <c r="BA11" s="961"/>
      <c r="BB11" s="961"/>
      <c r="BC11" s="961"/>
      <c r="BD11" s="961"/>
      <c r="BE11" s="961"/>
      <c r="BF11" s="961"/>
      <c r="BG11" s="961"/>
      <c r="BH11" s="961"/>
      <c r="BI11" s="961"/>
    </row>
    <row r="12" spans="2:61" s="938" customFormat="1" ht="34.5" customHeight="1" x14ac:dyDescent="0.25">
      <c r="B12" s="188" t="s">
        <v>1148</v>
      </c>
      <c r="C12" s="31" t="s">
        <v>1149</v>
      </c>
      <c r="D12" s="31"/>
      <c r="E12" s="31"/>
      <c r="F12" s="188" t="s">
        <v>1150</v>
      </c>
      <c r="G12" s="188" t="s">
        <v>1151</v>
      </c>
      <c r="H12" s="188" t="s">
        <v>1152</v>
      </c>
      <c r="I12" s="188" t="s">
        <v>1153</v>
      </c>
      <c r="J12" s="188" t="s">
        <v>1154</v>
      </c>
      <c r="K12" s="188" t="s">
        <v>1155</v>
      </c>
      <c r="L12" s="188" t="s">
        <v>1156</v>
      </c>
      <c r="M12" s="188" t="s">
        <v>1157</v>
      </c>
      <c r="N12" s="188" t="s">
        <v>1158</v>
      </c>
      <c r="O12" s="188" t="s">
        <v>1159</v>
      </c>
      <c r="P12" s="188" t="s">
        <v>1160</v>
      </c>
      <c r="Q12" s="188" t="s">
        <v>1161</v>
      </c>
      <c r="R12" s="790" t="s">
        <v>1162</v>
      </c>
      <c r="S12" s="188" t="s">
        <v>1163</v>
      </c>
      <c r="T12" s="791" t="s">
        <v>1164</v>
      </c>
      <c r="V12" s="962"/>
    </row>
    <row r="13" spans="2:61" x14ac:dyDescent="0.2">
      <c r="B13" s="61" t="s">
        <v>1165</v>
      </c>
      <c r="C13" s="61" t="s">
        <v>1165</v>
      </c>
      <c r="D13" s="61"/>
      <c r="E13" s="61"/>
      <c r="F13" s="3"/>
      <c r="G13" s="3"/>
      <c r="H13" s="3"/>
      <c r="I13" s="3"/>
      <c r="J13" s="3"/>
      <c r="K13" s="3"/>
      <c r="L13" s="3"/>
      <c r="M13" s="3"/>
      <c r="N13" s="3"/>
      <c r="O13" s="3"/>
      <c r="P13" s="3"/>
      <c r="Q13" s="3"/>
      <c r="R13" s="62"/>
      <c r="S13" s="3"/>
      <c r="T13" s="87"/>
    </row>
    <row r="14" spans="2:61" x14ac:dyDescent="0.2">
      <c r="B14" s="63" t="s">
        <v>1166</v>
      </c>
      <c r="C14" s="63" t="s">
        <v>1166</v>
      </c>
      <c r="D14" s="63"/>
      <c r="E14" s="63"/>
      <c r="F14" s="3"/>
      <c r="G14" s="3"/>
      <c r="H14" s="3"/>
      <c r="I14" s="3"/>
      <c r="J14" s="3"/>
      <c r="K14" s="3"/>
      <c r="L14" s="3"/>
      <c r="M14" s="3"/>
      <c r="N14" s="3"/>
      <c r="O14" s="3"/>
      <c r="P14" s="3"/>
      <c r="Q14" s="3"/>
      <c r="R14" s="62"/>
      <c r="S14" s="3"/>
      <c r="T14" s="87"/>
    </row>
    <row r="15" spans="2:61" x14ac:dyDescent="0.2">
      <c r="B15" s="5" t="s">
        <v>1167</v>
      </c>
      <c r="C15" s="5" t="s">
        <v>1167</v>
      </c>
      <c r="D15" s="3"/>
      <c r="E15" s="3"/>
      <c r="F15" s="3"/>
      <c r="G15" s="3"/>
      <c r="H15" s="3"/>
      <c r="I15" s="3"/>
      <c r="J15" s="3"/>
      <c r="K15" s="3"/>
      <c r="L15" s="3"/>
      <c r="M15" s="163"/>
      <c r="N15" s="3"/>
      <c r="O15" s="3"/>
      <c r="P15" s="3"/>
      <c r="Q15" s="3"/>
      <c r="R15" s="66">
        <f>'MK IMC Calculations'!O101</f>
        <v>33156.32</v>
      </c>
      <c r="S15" s="3"/>
      <c r="T15" s="87">
        <f>'MK IMC Calculations'!G152</f>
        <v>0.01</v>
      </c>
      <c r="U15" s="64"/>
    </row>
    <row r="16" spans="2:61" x14ac:dyDescent="0.2">
      <c r="B16" s="79" t="s">
        <v>1168</v>
      </c>
      <c r="C16" s="79" t="s">
        <v>1168</v>
      </c>
      <c r="D16" s="3"/>
      <c r="E16" s="3"/>
      <c r="F16" s="3"/>
      <c r="G16" s="65"/>
      <c r="H16" s="3"/>
      <c r="I16" s="3"/>
      <c r="J16" s="3"/>
      <c r="K16" s="3"/>
      <c r="L16" s="3"/>
      <c r="M16" s="164"/>
      <c r="N16" s="3"/>
      <c r="O16" s="3"/>
      <c r="P16" s="3"/>
      <c r="Q16" s="3"/>
      <c r="R16" s="66"/>
      <c r="S16" s="3"/>
      <c r="T16" s="87"/>
      <c r="V16" s="102"/>
    </row>
    <row r="17" spans="2:22" x14ac:dyDescent="0.2">
      <c r="B17" s="79" t="s">
        <v>1169</v>
      </c>
      <c r="C17" s="79" t="s">
        <v>1169</v>
      </c>
      <c r="D17" s="3"/>
      <c r="E17" s="3"/>
      <c r="F17" s="65"/>
      <c r="G17" s="3"/>
      <c r="H17" s="3"/>
      <c r="I17" s="3"/>
      <c r="J17" s="3"/>
      <c r="K17" s="3"/>
      <c r="L17" s="3"/>
      <c r="M17" s="3"/>
      <c r="N17" s="3"/>
      <c r="O17" s="65"/>
      <c r="P17" s="3"/>
      <c r="Q17" s="3"/>
      <c r="R17" s="66"/>
      <c r="S17" s="3"/>
      <c r="T17" s="87"/>
    </row>
    <row r="18" spans="2:22" x14ac:dyDescent="0.2">
      <c r="B18" s="79" t="s">
        <v>1170</v>
      </c>
      <c r="C18" s="79" t="s">
        <v>1170</v>
      </c>
      <c r="D18" s="3"/>
      <c r="E18" s="3"/>
      <c r="F18" s="3"/>
      <c r="G18" s="3"/>
      <c r="H18" s="65"/>
      <c r="I18" s="3"/>
      <c r="J18" s="3"/>
      <c r="K18" s="3"/>
      <c r="L18" s="3"/>
      <c r="M18" s="3"/>
      <c r="N18" s="3"/>
      <c r="O18" s="3"/>
      <c r="P18" s="65"/>
      <c r="Q18" s="3"/>
      <c r="R18" s="66"/>
      <c r="S18" s="3"/>
      <c r="T18" s="87"/>
    </row>
    <row r="19" spans="2:22" x14ac:dyDescent="0.2">
      <c r="B19" s="79" t="s">
        <v>1171</v>
      </c>
      <c r="C19" s="79" t="s">
        <v>1171</v>
      </c>
      <c r="D19" s="3"/>
      <c r="E19" s="3"/>
      <c r="F19" s="3"/>
      <c r="G19" s="65"/>
      <c r="H19" s="3"/>
      <c r="I19" s="3"/>
      <c r="J19" s="3"/>
      <c r="K19" s="3"/>
      <c r="L19" s="3"/>
      <c r="M19" s="3"/>
      <c r="N19" s="3"/>
      <c r="O19" s="65"/>
      <c r="P19" s="3"/>
      <c r="Q19" s="3"/>
      <c r="R19" s="66"/>
      <c r="S19" s="3"/>
      <c r="T19" s="87"/>
    </row>
    <row r="20" spans="2:22" x14ac:dyDescent="0.2">
      <c r="B20" s="67" t="s">
        <v>1172</v>
      </c>
      <c r="C20" s="67" t="s">
        <v>1172</v>
      </c>
      <c r="D20" s="3"/>
      <c r="E20" s="3"/>
      <c r="F20" s="68"/>
      <c r="G20" s="68"/>
      <c r="H20" s="68"/>
      <c r="I20" s="68"/>
      <c r="J20" s="68"/>
      <c r="K20" s="68"/>
      <c r="L20" s="68"/>
      <c r="M20" s="68"/>
      <c r="N20" s="68"/>
      <c r="O20" s="68"/>
      <c r="P20" s="68"/>
      <c r="Q20" s="68"/>
      <c r="R20" s="66">
        <f>R45*'MK IMC Calculations'!E37</f>
        <v>14315.632000000001</v>
      </c>
      <c r="S20" s="3"/>
      <c r="T20" s="87">
        <f>'MK IMC Calculations'!C37</f>
        <v>0.01</v>
      </c>
      <c r="U20" s="21"/>
    </row>
    <row r="21" spans="2:22" x14ac:dyDescent="0.2">
      <c r="B21" s="67" t="s">
        <v>1173</v>
      </c>
      <c r="C21" s="67" t="s">
        <v>1173</v>
      </c>
      <c r="D21" s="3"/>
      <c r="E21" s="3"/>
      <c r="F21" s="3"/>
      <c r="G21" s="3"/>
      <c r="H21" s="3"/>
      <c r="I21" s="3"/>
      <c r="J21" s="3"/>
      <c r="K21" s="3"/>
      <c r="L21" s="3"/>
      <c r="M21" s="3"/>
      <c r="N21" s="3"/>
      <c r="R21" s="66">
        <f>'MK IMC Calculations'!C13</f>
        <v>48000</v>
      </c>
      <c r="S21" s="3"/>
      <c r="T21" s="87">
        <f>'MK IMC Calculations'!C17</f>
        <v>1.9199999999999998E-2</v>
      </c>
    </row>
    <row r="22" spans="2:22" x14ac:dyDescent="0.2">
      <c r="B22" s="79" t="s">
        <v>1174</v>
      </c>
      <c r="C22" s="79" t="s">
        <v>1174</v>
      </c>
      <c r="K22" s="155"/>
      <c r="L22" s="155"/>
      <c r="O22" s="3"/>
      <c r="P22" s="155"/>
      <c r="Q22" s="155"/>
      <c r="R22" s="20"/>
    </row>
    <row r="23" spans="2:22" x14ac:dyDescent="0.2">
      <c r="B23" s="79" t="s">
        <v>1175</v>
      </c>
      <c r="C23" s="79" t="s">
        <v>1175</v>
      </c>
      <c r="K23" s="154"/>
      <c r="L23" s="155"/>
      <c r="O23" s="3"/>
      <c r="P23" s="155"/>
      <c r="Q23" s="155"/>
      <c r="R23" s="20"/>
    </row>
    <row r="24" spans="2:22" x14ac:dyDescent="0.2">
      <c r="B24" s="79" t="s">
        <v>1176</v>
      </c>
      <c r="C24" s="79" t="s">
        <v>1176</v>
      </c>
      <c r="K24" s="154"/>
      <c r="L24" s="155"/>
      <c r="O24" s="3"/>
      <c r="P24" s="155"/>
      <c r="Q24" s="155"/>
      <c r="R24" s="20"/>
    </row>
    <row r="25" spans="2:22" x14ac:dyDescent="0.2">
      <c r="B25" s="79" t="s">
        <v>1177</v>
      </c>
      <c r="C25" s="79" t="s">
        <v>1177</v>
      </c>
      <c r="I25" s="155"/>
      <c r="J25" s="155"/>
      <c r="M25" s="154"/>
      <c r="N25" s="155"/>
      <c r="O25" s="3"/>
      <c r="R25" s="20"/>
    </row>
    <row r="26" spans="2:22" x14ac:dyDescent="0.2">
      <c r="B26" s="79" t="s">
        <v>1178</v>
      </c>
      <c r="C26" s="79" t="s">
        <v>1178</v>
      </c>
      <c r="I26" s="155"/>
      <c r="J26" s="155"/>
      <c r="M26" s="154"/>
      <c r="N26" s="155"/>
      <c r="O26" s="3"/>
      <c r="R26" s="20"/>
    </row>
    <row r="27" spans="2:22" x14ac:dyDescent="0.2">
      <c r="B27" s="79" t="s">
        <v>1179</v>
      </c>
      <c r="C27" s="79" t="s">
        <v>1179</v>
      </c>
      <c r="I27" s="155"/>
      <c r="J27" s="155"/>
      <c r="M27" s="154"/>
      <c r="N27" s="155"/>
      <c r="O27" s="3"/>
      <c r="R27" s="20"/>
    </row>
    <row r="28" spans="2:22" x14ac:dyDescent="0.2">
      <c r="B28" s="79" t="s">
        <v>1180</v>
      </c>
      <c r="C28" s="79" t="s">
        <v>1180</v>
      </c>
      <c r="I28" s="155"/>
      <c r="J28" s="155"/>
      <c r="M28" s="154"/>
      <c r="N28" s="155"/>
      <c r="O28" s="3"/>
      <c r="R28" s="20"/>
    </row>
    <row r="29" spans="2:22" x14ac:dyDescent="0.2">
      <c r="B29" s="79" t="s">
        <v>1181</v>
      </c>
      <c r="C29" s="79" t="s">
        <v>1181</v>
      </c>
      <c r="K29" s="154"/>
      <c r="L29" s="155"/>
      <c r="O29" s="3"/>
      <c r="P29" s="155"/>
      <c r="Q29" s="155"/>
      <c r="R29" s="20"/>
    </row>
    <row r="30" spans="2:22" x14ac:dyDescent="0.2">
      <c r="B30" s="79" t="s">
        <v>1182</v>
      </c>
      <c r="C30" s="79"/>
      <c r="I30" s="155"/>
      <c r="J30" s="155"/>
      <c r="M30" s="154"/>
      <c r="N30" s="155"/>
      <c r="O30" s="3"/>
      <c r="P30" s="3"/>
      <c r="Q30" s="3"/>
      <c r="R30" s="20"/>
    </row>
    <row r="31" spans="2:22" x14ac:dyDescent="0.2">
      <c r="B31" s="79" t="s">
        <v>1183</v>
      </c>
      <c r="C31" s="79"/>
      <c r="I31" s="155"/>
      <c r="J31" s="155"/>
      <c r="M31" s="154"/>
      <c r="N31" s="155"/>
      <c r="O31" s="3"/>
      <c r="P31" s="3"/>
      <c r="Q31" s="3"/>
      <c r="R31" s="20"/>
    </row>
    <row r="32" spans="2:22" x14ac:dyDescent="0.2">
      <c r="B32" s="67" t="s">
        <v>1184</v>
      </c>
      <c r="C32" s="67" t="s">
        <v>1184</v>
      </c>
      <c r="D32" s="67"/>
      <c r="E32" s="3"/>
      <c r="F32" s="3" t="s">
        <v>38</v>
      </c>
      <c r="G32" s="3"/>
      <c r="H32" s="3"/>
      <c r="I32" s="3"/>
      <c r="J32" s="3"/>
      <c r="P32" s="3"/>
      <c r="Q32" s="3"/>
      <c r="R32" s="66">
        <f>'MK IMC Calculations'!C68</f>
        <v>29000</v>
      </c>
      <c r="S32" s="3"/>
      <c r="T32" s="87">
        <f>'MK IMC Calculations'!C73</f>
        <v>1.1600000000000001E-2</v>
      </c>
      <c r="V32" s="102"/>
    </row>
    <row r="33" spans="2:20" x14ac:dyDescent="0.2">
      <c r="B33" s="79" t="s">
        <v>1176</v>
      </c>
      <c r="C33" s="79" t="s">
        <v>1176</v>
      </c>
      <c r="K33" s="89"/>
      <c r="L33" s="89"/>
      <c r="M33" s="3"/>
      <c r="R33" s="20"/>
    </row>
    <row r="34" spans="2:20" x14ac:dyDescent="0.2">
      <c r="B34" s="79" t="s">
        <v>1179</v>
      </c>
      <c r="C34" s="79" t="s">
        <v>1179</v>
      </c>
      <c r="K34" s="89"/>
      <c r="L34" s="89"/>
      <c r="M34" s="3"/>
      <c r="R34" s="20"/>
    </row>
    <row r="35" spans="2:20" x14ac:dyDescent="0.2">
      <c r="B35" s="79" t="s">
        <v>1181</v>
      </c>
      <c r="C35" s="79" t="s">
        <v>1181</v>
      </c>
      <c r="K35" s="89"/>
      <c r="L35" s="89"/>
      <c r="M35" s="3"/>
      <c r="R35" s="20"/>
    </row>
    <row r="36" spans="2:20" x14ac:dyDescent="0.2">
      <c r="B36" s="79" t="s">
        <v>1182</v>
      </c>
      <c r="C36" s="79" t="s">
        <v>1182</v>
      </c>
      <c r="K36" s="89"/>
      <c r="L36" s="89"/>
      <c r="M36" s="3"/>
      <c r="R36" s="20"/>
    </row>
    <row r="37" spans="2:20" x14ac:dyDescent="0.2">
      <c r="B37" s="67" t="s">
        <v>1185</v>
      </c>
      <c r="C37" s="67" t="s">
        <v>1185</v>
      </c>
      <c r="R37" s="20">
        <f>'MK IMC Calculations'!C77</f>
        <v>10000</v>
      </c>
      <c r="T37" s="64">
        <f>'MK IMC Calculations'!E78</f>
        <v>0.01</v>
      </c>
    </row>
    <row r="38" spans="2:20" x14ac:dyDescent="0.2">
      <c r="B38" s="79" t="s">
        <v>1186</v>
      </c>
      <c r="C38" s="79" t="s">
        <v>1186</v>
      </c>
      <c r="F38" s="165"/>
      <c r="G38" s="110"/>
      <c r="H38" s="165"/>
      <c r="I38" s="110"/>
      <c r="J38" s="165"/>
      <c r="K38" s="3"/>
      <c r="L38" s="3"/>
      <c r="R38" s="20"/>
    </row>
    <row r="39" spans="2:20" x14ac:dyDescent="0.2">
      <c r="B39" s="79" t="s">
        <v>1187</v>
      </c>
      <c r="C39" s="79" t="s">
        <v>1187</v>
      </c>
      <c r="K39" s="3"/>
      <c r="L39" s="3"/>
      <c r="M39" s="165"/>
      <c r="N39" s="110"/>
      <c r="O39" s="110"/>
      <c r="P39" s="165"/>
      <c r="Q39" s="165"/>
      <c r="R39" s="20"/>
    </row>
    <row r="40" spans="2:20" x14ac:dyDescent="0.2">
      <c r="B40" s="63" t="s">
        <v>1188</v>
      </c>
      <c r="C40" s="63" t="s">
        <v>1188</v>
      </c>
      <c r="D40" s="63"/>
      <c r="E40" s="63"/>
      <c r="F40" s="3"/>
      <c r="G40" s="3"/>
      <c r="H40" s="3"/>
      <c r="I40" s="3"/>
      <c r="J40" s="3"/>
      <c r="K40" s="3"/>
      <c r="R40" s="20"/>
      <c r="S40" s="3"/>
      <c r="T40" s="87"/>
    </row>
    <row r="41" spans="2:20" x14ac:dyDescent="0.2">
      <c r="B41" s="70" t="s">
        <v>1189</v>
      </c>
      <c r="C41" s="70" t="s">
        <v>1189</v>
      </c>
      <c r="D41" s="71"/>
      <c r="E41" s="71"/>
      <c r="F41" s="3"/>
      <c r="G41" s="3"/>
      <c r="H41" s="3"/>
      <c r="I41" s="3"/>
      <c r="J41" s="3"/>
      <c r="K41" s="3"/>
      <c r="L41" s="3"/>
      <c r="M41" s="3"/>
      <c r="N41" s="3"/>
      <c r="O41" s="3"/>
      <c r="P41" s="3"/>
      <c r="Q41" s="3"/>
      <c r="R41" s="66"/>
      <c r="T41" s="64">
        <v>0</v>
      </c>
    </row>
    <row r="42" spans="2:20" x14ac:dyDescent="0.2">
      <c r="B42" s="67" t="s">
        <v>1190</v>
      </c>
      <c r="C42" s="67" t="s">
        <v>1190</v>
      </c>
      <c r="D42" s="67"/>
      <c r="E42" s="3"/>
      <c r="F42" s="72"/>
      <c r="G42" s="73"/>
      <c r="H42" s="73"/>
      <c r="I42" s="73"/>
      <c r="J42" s="73"/>
      <c r="K42" s="73"/>
      <c r="L42" s="73"/>
      <c r="M42" s="73"/>
      <c r="N42" s="73"/>
      <c r="O42" s="73"/>
      <c r="P42" s="73"/>
      <c r="Q42" s="72"/>
      <c r="R42" s="66">
        <f>'MK IMC Calculations'!E162</f>
        <v>13000</v>
      </c>
      <c r="S42" s="62"/>
      <c r="T42" s="64">
        <f>'MK IMC Calculations'!D176</f>
        <v>0.01</v>
      </c>
    </row>
    <row r="43" spans="2:20" x14ac:dyDescent="0.2">
      <c r="B43" s="63" t="s">
        <v>1191</v>
      </c>
      <c r="C43" s="63" t="s">
        <v>1191</v>
      </c>
      <c r="D43" s="63"/>
      <c r="E43" s="63"/>
      <c r="F43" s="3"/>
      <c r="G43" s="3"/>
      <c r="H43" s="3"/>
      <c r="I43" s="3"/>
      <c r="J43" s="3"/>
      <c r="K43" s="3"/>
      <c r="L43" s="3"/>
      <c r="M43" s="3"/>
      <c r="N43" s="3"/>
      <c r="O43" s="3"/>
      <c r="P43" s="3"/>
      <c r="Q43" s="3"/>
      <c r="R43" s="20"/>
      <c r="S43" s="62"/>
    </row>
    <row r="44" spans="2:20" x14ac:dyDescent="0.2">
      <c r="B44" s="67" t="s">
        <v>1192</v>
      </c>
      <c r="C44" s="67" t="s">
        <v>1192</v>
      </c>
      <c r="D44" s="67"/>
      <c r="E44" s="3"/>
      <c r="F44" s="74"/>
      <c r="G44" s="74"/>
      <c r="H44" s="74"/>
      <c r="I44" s="74"/>
      <c r="J44" s="74"/>
      <c r="K44" s="74"/>
      <c r="L44" s="74"/>
      <c r="M44" s="74"/>
      <c r="N44" s="74"/>
      <c r="O44" s="74"/>
      <c r="P44" s="74"/>
      <c r="Q44" s="74"/>
      <c r="R44" s="66">
        <f>'MK IMC Calculations'!E185</f>
        <v>10000</v>
      </c>
    </row>
    <row r="45" spans="2:20" x14ac:dyDescent="0.2">
      <c r="B45" s="98" t="s">
        <v>1193</v>
      </c>
      <c r="C45" s="98" t="s">
        <v>1193</v>
      </c>
      <c r="D45" s="98"/>
      <c r="E45" s="98"/>
      <c r="R45" s="20">
        <f>SUM(R15:R15,R21:R44)</f>
        <v>143156.32</v>
      </c>
      <c r="S45" s="3"/>
      <c r="T45" s="87"/>
    </row>
    <row r="46" spans="2:20" ht="16" thickBot="1" x14ac:dyDescent="0.25">
      <c r="B46" s="83" t="s">
        <v>1194</v>
      </c>
      <c r="C46" s="83" t="s">
        <v>1194</v>
      </c>
      <c r="D46" s="83"/>
      <c r="E46" s="83"/>
      <c r="F46" s="84"/>
      <c r="G46" s="84"/>
      <c r="H46" s="84"/>
      <c r="I46" s="84"/>
      <c r="J46" s="84"/>
      <c r="K46" s="84"/>
      <c r="L46" s="84"/>
      <c r="M46" s="84"/>
      <c r="N46" s="84"/>
      <c r="O46" s="84"/>
      <c r="P46" s="84"/>
      <c r="Q46" s="84"/>
      <c r="R46" s="166">
        <f>R45+R20</f>
        <v>157471.95200000002</v>
      </c>
      <c r="S46" s="167"/>
      <c r="T46" s="168">
        <f>SUM(T14:T45)</f>
        <v>7.0800000000000002E-2</v>
      </c>
    </row>
    <row r="47" spans="2:20" x14ac:dyDescent="0.2">
      <c r="B47" s="61" t="s">
        <v>1195</v>
      </c>
      <c r="C47" s="61" t="s">
        <v>1195</v>
      </c>
      <c r="D47" s="61"/>
      <c r="E47" s="61"/>
      <c r="F47" s="3"/>
      <c r="G47" s="3"/>
      <c r="H47" s="3"/>
      <c r="I47" s="3"/>
      <c r="J47" s="3"/>
      <c r="K47" s="3"/>
      <c r="L47" s="3"/>
      <c r="M47" s="3"/>
      <c r="N47" s="3"/>
      <c r="O47" s="3"/>
      <c r="P47" s="3"/>
      <c r="Q47" s="3"/>
      <c r="R47" s="66"/>
      <c r="S47" s="60"/>
      <c r="T47" s="60"/>
    </row>
    <row r="48" spans="2:20" x14ac:dyDescent="0.2">
      <c r="B48" s="67" t="s">
        <v>1196</v>
      </c>
      <c r="C48" s="67" t="s">
        <v>1196</v>
      </c>
      <c r="D48" s="67"/>
      <c r="E48" s="3"/>
      <c r="F48" s="3"/>
      <c r="G48" s="3"/>
      <c r="H48" s="3"/>
      <c r="I48" s="3"/>
      <c r="J48" s="3"/>
      <c r="K48" s="3"/>
      <c r="L48" s="3"/>
      <c r="M48" s="3"/>
      <c r="N48" s="3"/>
      <c r="O48" s="3"/>
      <c r="P48" s="3"/>
      <c r="Q48" s="3"/>
      <c r="R48" s="66">
        <f>'MK IMC Calculations'!D199</f>
        <v>17000</v>
      </c>
      <c r="S48" s="3"/>
      <c r="T48" s="87"/>
    </row>
    <row r="49" spans="2:22" x14ac:dyDescent="0.2">
      <c r="B49" s="91" t="s">
        <v>1197</v>
      </c>
      <c r="C49" s="91" t="s">
        <v>1197</v>
      </c>
      <c r="D49" s="67"/>
      <c r="E49" s="3"/>
      <c r="F49" s="3"/>
      <c r="G49" s="3"/>
      <c r="H49" s="3"/>
      <c r="I49" s="3"/>
      <c r="J49" s="3"/>
      <c r="K49" s="3"/>
      <c r="L49" s="3"/>
      <c r="M49" s="3"/>
      <c r="N49" s="3"/>
      <c r="O49" s="3"/>
      <c r="P49" s="78"/>
      <c r="Q49" s="3"/>
      <c r="R49" s="66"/>
      <c r="S49" s="3"/>
      <c r="T49" s="87"/>
    </row>
    <row r="50" spans="2:22" x14ac:dyDescent="0.2">
      <c r="B50" s="79" t="s">
        <v>1198</v>
      </c>
      <c r="C50" s="79" t="s">
        <v>1198</v>
      </c>
      <c r="D50" s="67"/>
      <c r="E50" s="3"/>
      <c r="F50" s="3"/>
      <c r="G50" s="78"/>
      <c r="H50" s="3"/>
      <c r="I50" s="3"/>
      <c r="J50" s="3"/>
      <c r="K50" s="3"/>
      <c r="L50" s="3"/>
      <c r="M50" s="3"/>
      <c r="N50" s="3"/>
      <c r="O50" s="3"/>
      <c r="P50" s="3"/>
      <c r="Q50" s="3"/>
      <c r="R50" s="66"/>
      <c r="S50" s="3"/>
      <c r="T50" s="87"/>
    </row>
    <row r="51" spans="2:22" x14ac:dyDescent="0.2">
      <c r="B51" s="67" t="s">
        <v>1199</v>
      </c>
      <c r="C51" s="67" t="s">
        <v>1199</v>
      </c>
      <c r="D51" s="67"/>
      <c r="E51" s="3"/>
      <c r="F51" s="3"/>
      <c r="G51" s="3"/>
      <c r="H51" s="3"/>
      <c r="I51" s="3"/>
      <c r="J51" s="3"/>
      <c r="K51" s="3"/>
      <c r="L51" s="3"/>
      <c r="M51" s="3"/>
      <c r="N51" s="3"/>
      <c r="O51" s="3"/>
      <c r="P51" s="3"/>
      <c r="Q51" s="3"/>
      <c r="R51" s="66">
        <f>'MK IMC Calculations'!D204</f>
        <v>7800</v>
      </c>
      <c r="S51" s="3"/>
      <c r="T51" s="87"/>
    </row>
    <row r="52" spans="2:22" x14ac:dyDescent="0.2">
      <c r="B52" s="92" t="s">
        <v>1200</v>
      </c>
      <c r="C52" s="92" t="s">
        <v>1200</v>
      </c>
      <c r="D52" s="67"/>
      <c r="E52" s="3"/>
      <c r="F52" s="3"/>
      <c r="G52" s="3"/>
      <c r="H52" s="3"/>
      <c r="I52" s="3"/>
      <c r="J52" s="3"/>
      <c r="K52" s="78"/>
      <c r="L52" s="3"/>
      <c r="M52" s="3"/>
      <c r="N52" s="3"/>
      <c r="O52" s="78"/>
      <c r="P52" s="3"/>
      <c r="Q52" s="3"/>
      <c r="R52" s="66"/>
      <c r="S52" s="3"/>
      <c r="T52" s="87"/>
    </row>
    <row r="53" spans="2:22" x14ac:dyDescent="0.2">
      <c r="B53" s="76" t="s">
        <v>1201</v>
      </c>
      <c r="C53" s="76" t="s">
        <v>1201</v>
      </c>
      <c r="D53" s="76"/>
      <c r="E53" s="76"/>
      <c r="F53" s="3"/>
      <c r="G53" s="3"/>
      <c r="H53" s="3"/>
      <c r="I53" s="3"/>
      <c r="J53" s="3"/>
      <c r="K53" s="3"/>
      <c r="L53" s="3"/>
      <c r="M53" s="3"/>
      <c r="N53" s="3"/>
      <c r="O53" s="3"/>
      <c r="P53" s="3"/>
      <c r="Q53" s="3"/>
      <c r="R53" s="77">
        <f>SUM(R48:R52)</f>
        <v>24800</v>
      </c>
      <c r="S53" s="3"/>
      <c r="T53" s="169">
        <f>SUM(T48:T52)</f>
        <v>0</v>
      </c>
    </row>
    <row r="54" spans="2:22" x14ac:dyDescent="0.2">
      <c r="B54" s="81" t="s">
        <v>1202</v>
      </c>
      <c r="C54" s="81" t="s">
        <v>1202</v>
      </c>
      <c r="D54" s="81"/>
      <c r="E54" s="81"/>
      <c r="F54" s="3"/>
      <c r="G54" s="3"/>
      <c r="H54" s="3"/>
      <c r="I54" s="3"/>
      <c r="J54" s="3"/>
      <c r="K54" s="3"/>
      <c r="L54" s="3"/>
      <c r="M54" s="3"/>
      <c r="N54" s="3"/>
      <c r="O54" s="3"/>
      <c r="P54" s="3"/>
      <c r="Q54" s="3"/>
      <c r="R54" s="77">
        <f>SUM(R46,R53)</f>
        <v>182271.95200000002</v>
      </c>
      <c r="S54" s="3"/>
      <c r="T54" s="170">
        <f>SUM(T46,T53)</f>
        <v>7.0800000000000002E-2</v>
      </c>
    </row>
    <row r="55" spans="2:22" x14ac:dyDescent="0.2">
      <c r="C55" s="3"/>
      <c r="D55" s="3"/>
      <c r="E55" s="3"/>
      <c r="F55" s="3"/>
      <c r="G55" s="3"/>
      <c r="H55" s="3"/>
      <c r="I55" s="3"/>
      <c r="J55" s="3"/>
      <c r="K55" s="3"/>
      <c r="L55" s="3"/>
      <c r="M55" s="3"/>
      <c r="N55" s="3"/>
      <c r="O55" s="3"/>
      <c r="P55" s="3"/>
      <c r="Q55" s="3"/>
      <c r="R55" s="62"/>
      <c r="S55" s="3"/>
      <c r="T55" s="87"/>
    </row>
    <row r="56" spans="2:22" x14ac:dyDescent="0.2">
      <c r="Q56" s="53"/>
      <c r="R56" s="20"/>
      <c r="S56" s="3"/>
      <c r="T56" s="3"/>
      <c r="V56" s="58"/>
    </row>
    <row r="57" spans="2:22" ht="32" x14ac:dyDescent="0.2">
      <c r="Q57" s="88" t="s">
        <v>1203</v>
      </c>
      <c r="R57" s="29">
        <f>'FE Income Statement'!E5</f>
        <v>673694.10357142857</v>
      </c>
    </row>
    <row r="58" spans="2:22" ht="32" x14ac:dyDescent="0.2">
      <c r="Q58" s="1266" t="s">
        <v>1204</v>
      </c>
      <c r="R58" s="635">
        <f>R54/R57</f>
        <v>0.27055595563881107</v>
      </c>
    </row>
    <row r="59" spans="2:22" x14ac:dyDescent="0.2">
      <c r="R59" s="162"/>
    </row>
    <row r="60" spans="2:22" ht="21" thickBot="1" x14ac:dyDescent="0.3">
      <c r="B60" s="963"/>
      <c r="C60" s="646" t="s">
        <v>1205</v>
      </c>
    </row>
    <row r="61" spans="2:22" ht="33" thickTop="1" x14ac:dyDescent="0.2">
      <c r="B61" s="188" t="s">
        <v>1149</v>
      </c>
      <c r="C61" s="31" t="s">
        <v>1149</v>
      </c>
      <c r="D61" s="31"/>
      <c r="E61" s="31"/>
      <c r="F61" s="188" t="s">
        <v>1150</v>
      </c>
      <c r="G61" s="188" t="s">
        <v>1151</v>
      </c>
      <c r="H61" s="188" t="s">
        <v>1152</v>
      </c>
      <c r="I61" s="188" t="s">
        <v>1153</v>
      </c>
      <c r="J61" s="188" t="s">
        <v>1154</v>
      </c>
      <c r="K61" s="188" t="s">
        <v>1155</v>
      </c>
      <c r="L61" s="188" t="s">
        <v>1156</v>
      </c>
      <c r="M61" s="188" t="s">
        <v>1157</v>
      </c>
      <c r="N61" s="188" t="s">
        <v>1158</v>
      </c>
      <c r="O61" s="188" t="s">
        <v>1159</v>
      </c>
      <c r="P61" s="188" t="s">
        <v>1160</v>
      </c>
      <c r="Q61" s="188" t="s">
        <v>1161</v>
      </c>
      <c r="R61" s="790" t="s">
        <v>1162</v>
      </c>
      <c r="S61" s="188" t="s">
        <v>1163</v>
      </c>
      <c r="T61" s="791" t="s">
        <v>1164</v>
      </c>
      <c r="U61" s="934"/>
    </row>
    <row r="62" spans="2:22" x14ac:dyDescent="0.2">
      <c r="B62" s="61" t="s">
        <v>1165</v>
      </c>
      <c r="C62" s="98" t="s">
        <v>1165</v>
      </c>
      <c r="D62" s="819"/>
      <c r="E62" s="819"/>
      <c r="F62" s="3"/>
      <c r="G62" s="3"/>
      <c r="H62" s="3"/>
      <c r="I62" s="3"/>
      <c r="J62" s="3"/>
      <c r="K62" s="3"/>
      <c r="L62" s="3"/>
      <c r="M62" s="3"/>
      <c r="N62" s="3"/>
      <c r="O62" s="3"/>
      <c r="P62" s="3"/>
      <c r="Q62" s="3"/>
    </row>
    <row r="63" spans="2:22" x14ac:dyDescent="0.2">
      <c r="B63" s="63" t="s">
        <v>1166</v>
      </c>
      <c r="C63" s="986" t="s">
        <v>1166</v>
      </c>
      <c r="D63" s="820"/>
      <c r="E63" s="820"/>
      <c r="F63" s="3"/>
      <c r="G63" s="3"/>
      <c r="H63" s="3"/>
      <c r="I63" s="3"/>
      <c r="J63" s="3"/>
      <c r="K63" s="3"/>
      <c r="L63" s="3"/>
      <c r="M63" s="3"/>
      <c r="N63" s="3"/>
      <c r="O63" s="3"/>
      <c r="P63" s="3"/>
      <c r="Q63" s="3"/>
    </row>
    <row r="64" spans="2:22" x14ac:dyDescent="0.2">
      <c r="B64" s="5" t="s">
        <v>1206</v>
      </c>
      <c r="C64" s="5" t="s">
        <v>1206</v>
      </c>
      <c r="D64" s="3"/>
      <c r="E64" s="3"/>
      <c r="R64" s="86">
        <f>'MK IMC Calculations'!O110</f>
        <v>33126</v>
      </c>
      <c r="S64" s="58"/>
      <c r="T64" s="64">
        <f>'MK IMC Calculations'!G153</f>
        <v>0.02</v>
      </c>
    </row>
    <row r="65" spans="2:20" x14ac:dyDescent="0.2">
      <c r="B65" s="79" t="s">
        <v>1168</v>
      </c>
      <c r="C65" s="79" t="s">
        <v>1207</v>
      </c>
      <c r="D65" s="3"/>
      <c r="E65" s="3"/>
      <c r="F65" s="3"/>
      <c r="G65" s="65"/>
      <c r="H65" s="3"/>
      <c r="I65" s="3"/>
      <c r="J65" s="3"/>
      <c r="K65" s="3"/>
      <c r="L65" s="3"/>
      <c r="M65" s="3"/>
      <c r="N65" s="3"/>
      <c r="O65" s="3"/>
      <c r="P65" s="65"/>
      <c r="Q65" s="3"/>
    </row>
    <row r="66" spans="2:20" x14ac:dyDescent="0.2">
      <c r="B66" s="79" t="s">
        <v>1169</v>
      </c>
      <c r="C66" s="79" t="s">
        <v>1169</v>
      </c>
      <c r="D66" s="3"/>
      <c r="E66" s="3"/>
      <c r="F66" s="3"/>
      <c r="G66" s="3"/>
      <c r="H66" s="3"/>
      <c r="I66" s="65"/>
      <c r="J66" s="3"/>
      <c r="K66" s="3"/>
      <c r="L66" s="3"/>
      <c r="M66" s="3"/>
      <c r="N66" s="3"/>
      <c r="O66" s="65"/>
      <c r="P66" s="3"/>
      <c r="Q66" s="3"/>
    </row>
    <row r="67" spans="2:20" x14ac:dyDescent="0.2">
      <c r="B67" s="79" t="s">
        <v>1170</v>
      </c>
      <c r="C67" s="79" t="s">
        <v>1170</v>
      </c>
      <c r="D67" s="3"/>
      <c r="E67" s="3"/>
      <c r="F67" s="3"/>
      <c r="G67" s="3"/>
      <c r="H67" s="65"/>
      <c r="I67" s="3"/>
      <c r="J67" s="3"/>
      <c r="K67" s="3"/>
      <c r="L67" s="3"/>
      <c r="M67" s="3"/>
      <c r="N67" s="3"/>
      <c r="O67" s="3"/>
      <c r="P67" s="3"/>
      <c r="Q67" s="65"/>
    </row>
    <row r="68" spans="2:20" x14ac:dyDescent="0.2">
      <c r="B68" s="79" t="s">
        <v>1171</v>
      </c>
      <c r="C68" s="79" t="s">
        <v>1171</v>
      </c>
      <c r="D68" s="3"/>
      <c r="E68" s="3"/>
      <c r="F68" s="65"/>
      <c r="G68" s="3"/>
      <c r="H68" s="3"/>
      <c r="I68" s="3"/>
      <c r="J68" s="3"/>
      <c r="K68" s="3"/>
      <c r="L68" s="3"/>
      <c r="M68" s="3"/>
      <c r="N68" s="3"/>
      <c r="O68" s="65"/>
      <c r="P68" s="3"/>
      <c r="Q68" s="3"/>
    </row>
    <row r="69" spans="2:20" x14ac:dyDescent="0.2">
      <c r="B69" s="67" t="s">
        <v>1172</v>
      </c>
      <c r="C69" s="67" t="s">
        <v>1172</v>
      </c>
      <c r="D69" s="3"/>
      <c r="E69" s="3"/>
      <c r="F69" s="68"/>
      <c r="G69" s="68"/>
      <c r="H69" s="68"/>
      <c r="I69" s="68"/>
      <c r="J69" s="68"/>
      <c r="K69" s="68"/>
      <c r="L69" s="68"/>
      <c r="M69" s="68"/>
      <c r="N69" s="68"/>
      <c r="O69" s="68"/>
      <c r="P69" s="68"/>
      <c r="Q69" s="68"/>
      <c r="R69" s="86">
        <f>R95*'MK IMC Calculations'!E38</f>
        <v>14162.6</v>
      </c>
      <c r="S69" s="58"/>
      <c r="T69" s="64">
        <f>'MK IMC Calculations'!C38</f>
        <v>0.02</v>
      </c>
    </row>
    <row r="70" spans="2:20" x14ac:dyDescent="0.2">
      <c r="B70" s="67" t="s">
        <v>1208</v>
      </c>
      <c r="C70" s="67" t="s">
        <v>1208</v>
      </c>
      <c r="D70" s="3"/>
      <c r="E70" s="3"/>
      <c r="F70" s="3"/>
      <c r="G70" s="3"/>
      <c r="H70" s="3"/>
      <c r="I70" s="3"/>
      <c r="J70" s="3"/>
      <c r="K70" s="3"/>
      <c r="L70" s="3"/>
      <c r="M70" s="3"/>
      <c r="N70" s="3"/>
      <c r="R70" s="86">
        <f>'MK IMC Calculations'!E13</f>
        <v>48000</v>
      </c>
      <c r="S70" s="58"/>
      <c r="T70" s="64">
        <f>'MK IMC Calculations'!E17</f>
        <v>1.9199999999999998E-2</v>
      </c>
    </row>
    <row r="71" spans="2:20" x14ac:dyDescent="0.2">
      <c r="B71" s="79" t="s">
        <v>1174</v>
      </c>
      <c r="C71" s="79" t="s">
        <v>1174</v>
      </c>
      <c r="K71" s="155"/>
      <c r="L71" s="155"/>
      <c r="O71" s="3"/>
      <c r="P71" s="155"/>
      <c r="Q71" s="155"/>
    </row>
    <row r="72" spans="2:20" x14ac:dyDescent="0.2">
      <c r="B72" s="79" t="s">
        <v>1175</v>
      </c>
      <c r="C72" s="79" t="s">
        <v>1175</v>
      </c>
      <c r="K72" s="154"/>
      <c r="L72" s="155"/>
      <c r="O72" s="3"/>
      <c r="P72" s="155"/>
      <c r="Q72" s="155"/>
    </row>
    <row r="73" spans="2:20" x14ac:dyDescent="0.2">
      <c r="B73" s="79" t="s">
        <v>1176</v>
      </c>
      <c r="C73" s="79" t="s">
        <v>1176</v>
      </c>
      <c r="K73" s="154"/>
      <c r="L73" s="155"/>
      <c r="O73" s="3"/>
      <c r="P73" s="155"/>
      <c r="Q73" s="155"/>
    </row>
    <row r="74" spans="2:20" x14ac:dyDescent="0.2">
      <c r="B74" s="79" t="s">
        <v>1177</v>
      </c>
      <c r="C74" s="79" t="s">
        <v>1177</v>
      </c>
      <c r="I74" s="155"/>
      <c r="J74" s="155"/>
      <c r="M74" s="154"/>
      <c r="N74" s="155"/>
      <c r="O74" s="3"/>
    </row>
    <row r="75" spans="2:20" x14ac:dyDescent="0.2">
      <c r="B75" s="79" t="s">
        <v>1178</v>
      </c>
      <c r="C75" s="79" t="s">
        <v>1178</v>
      </c>
      <c r="I75" s="155"/>
      <c r="J75" s="155"/>
      <c r="M75" s="154"/>
      <c r="N75" s="155"/>
      <c r="O75" s="3"/>
    </row>
    <row r="76" spans="2:20" x14ac:dyDescent="0.2">
      <c r="B76" s="79" t="s">
        <v>1179</v>
      </c>
      <c r="C76" s="79" t="s">
        <v>1179</v>
      </c>
      <c r="I76" s="155"/>
      <c r="J76" s="155"/>
      <c r="M76" s="154"/>
      <c r="N76" s="155"/>
      <c r="O76" s="3"/>
    </row>
    <row r="77" spans="2:20" x14ac:dyDescent="0.2">
      <c r="B77" s="79" t="s">
        <v>1180</v>
      </c>
      <c r="C77" s="79" t="s">
        <v>1180</v>
      </c>
      <c r="I77" s="155"/>
      <c r="J77" s="155"/>
      <c r="M77" s="154"/>
      <c r="N77" s="155"/>
      <c r="O77" s="3"/>
    </row>
    <row r="78" spans="2:20" x14ac:dyDescent="0.2">
      <c r="B78" s="79" t="s">
        <v>1181</v>
      </c>
      <c r="C78" s="79" t="s">
        <v>1181</v>
      </c>
      <c r="K78" s="154"/>
      <c r="L78" s="155"/>
      <c r="O78" s="3"/>
      <c r="P78" s="155"/>
      <c r="Q78" s="155"/>
    </row>
    <row r="79" spans="2:20" x14ac:dyDescent="0.2">
      <c r="B79" s="79" t="s">
        <v>1182</v>
      </c>
      <c r="C79" s="79"/>
      <c r="I79" s="155"/>
      <c r="J79" s="155"/>
      <c r="M79" s="154"/>
      <c r="N79" s="155"/>
      <c r="O79" s="3"/>
      <c r="P79" s="3"/>
      <c r="Q79" s="3"/>
    </row>
    <row r="80" spans="2:20" x14ac:dyDescent="0.2">
      <c r="B80" s="79" t="s">
        <v>1183</v>
      </c>
      <c r="C80" s="79"/>
      <c r="I80" s="155"/>
      <c r="J80" s="155"/>
      <c r="M80" s="154"/>
      <c r="N80" s="155"/>
      <c r="O80" s="3"/>
      <c r="P80" s="3"/>
      <c r="Q80" s="3"/>
    </row>
    <row r="81" spans="2:20" x14ac:dyDescent="0.2">
      <c r="B81" s="67" t="s">
        <v>1184</v>
      </c>
      <c r="C81" s="67" t="s">
        <v>1184</v>
      </c>
      <c r="D81" s="67"/>
      <c r="E81" s="67"/>
      <c r="F81" s="3"/>
      <c r="G81" s="3"/>
      <c r="H81" s="3"/>
      <c r="I81" s="3"/>
      <c r="J81" s="3"/>
      <c r="K81" s="3"/>
      <c r="L81" s="3"/>
      <c r="M81" s="3"/>
      <c r="P81" s="3"/>
      <c r="Q81" s="3"/>
      <c r="R81" s="86">
        <f>'MK IMC Calculations'!E68</f>
        <v>29000</v>
      </c>
      <c r="T81" s="64">
        <f>'MK IMC Calculations'!E73</f>
        <v>1.1600000000000001E-2</v>
      </c>
    </row>
    <row r="82" spans="2:20" x14ac:dyDescent="0.2">
      <c r="B82" s="79" t="s">
        <v>1176</v>
      </c>
      <c r="C82" s="79" t="s">
        <v>1176</v>
      </c>
      <c r="K82" s="89"/>
      <c r="L82" s="89"/>
      <c r="M82" s="3"/>
    </row>
    <row r="83" spans="2:20" x14ac:dyDescent="0.2">
      <c r="B83" s="79" t="s">
        <v>1179</v>
      </c>
      <c r="C83" s="79" t="s">
        <v>1179</v>
      </c>
      <c r="K83" s="89"/>
      <c r="L83" s="89"/>
      <c r="M83" s="3"/>
    </row>
    <row r="84" spans="2:20" x14ac:dyDescent="0.2">
      <c r="B84" s="79" t="s">
        <v>1181</v>
      </c>
      <c r="C84" s="79" t="s">
        <v>1181</v>
      </c>
      <c r="K84" s="89"/>
      <c r="L84" s="89"/>
      <c r="M84" s="3"/>
    </row>
    <row r="85" spans="2:20" x14ac:dyDescent="0.2">
      <c r="B85" s="79" t="s">
        <v>1182</v>
      </c>
      <c r="C85" s="79" t="s">
        <v>1182</v>
      </c>
      <c r="K85" s="89"/>
      <c r="L85" s="89"/>
      <c r="M85" s="3"/>
    </row>
    <row r="86" spans="2:20" x14ac:dyDescent="0.2">
      <c r="B86" s="67" t="s">
        <v>1185</v>
      </c>
      <c r="C86" s="67" t="s">
        <v>1185</v>
      </c>
      <c r="R86" s="86">
        <f>'MK IMC Calculations'!C79</f>
        <v>20000</v>
      </c>
      <c r="T86" s="64">
        <f>'MK IMC Calculations'!E80</f>
        <v>0.02</v>
      </c>
    </row>
    <row r="87" spans="2:20" x14ac:dyDescent="0.2">
      <c r="B87" s="79" t="s">
        <v>1186</v>
      </c>
      <c r="C87" s="79" t="s">
        <v>1186</v>
      </c>
      <c r="F87" s="90"/>
      <c r="G87" s="90"/>
      <c r="H87" s="90"/>
      <c r="I87" s="90"/>
      <c r="J87" s="90"/>
      <c r="K87" s="3"/>
      <c r="M87" s="3"/>
      <c r="O87" s="3"/>
      <c r="P87" s="3"/>
      <c r="Q87" s="3"/>
    </row>
    <row r="88" spans="2:20" x14ac:dyDescent="0.2">
      <c r="B88" s="79" t="s">
        <v>1187</v>
      </c>
      <c r="C88" s="79" t="s">
        <v>1187</v>
      </c>
      <c r="K88" s="3"/>
      <c r="L88" s="3"/>
      <c r="M88" s="68"/>
      <c r="N88" s="90"/>
      <c r="O88" s="90"/>
      <c r="P88" s="68"/>
      <c r="Q88" s="68"/>
    </row>
    <row r="89" spans="2:20" x14ac:dyDescent="0.2">
      <c r="B89" s="63" t="s">
        <v>1188</v>
      </c>
      <c r="C89" s="63" t="s">
        <v>1188</v>
      </c>
      <c r="D89" s="63"/>
      <c r="E89" s="63"/>
      <c r="F89" s="3"/>
      <c r="G89" s="3"/>
      <c r="H89" s="3"/>
      <c r="I89" s="3"/>
      <c r="J89" s="3"/>
      <c r="K89" s="3"/>
      <c r="L89" s="3"/>
      <c r="M89" s="3"/>
      <c r="N89" s="3"/>
      <c r="O89" s="3"/>
      <c r="P89" s="3"/>
      <c r="Q89" s="3"/>
    </row>
    <row r="90" spans="2:20" x14ac:dyDescent="0.2">
      <c r="B90" s="70" t="s">
        <v>1189</v>
      </c>
      <c r="C90" s="70" t="s">
        <v>1189</v>
      </c>
      <c r="D90" s="71"/>
      <c r="E90" s="71"/>
      <c r="F90" s="3"/>
      <c r="G90" s="3"/>
      <c r="H90" s="3"/>
      <c r="I90" s="3"/>
      <c r="J90" s="3"/>
      <c r="K90" s="3"/>
      <c r="L90" s="3"/>
      <c r="M90" s="3"/>
      <c r="N90" s="3"/>
      <c r="O90" s="3"/>
      <c r="P90" s="3"/>
      <c r="Q90" s="3"/>
      <c r="T90" s="64">
        <f>'MK IMC Calculations'!E163*0.5*3/'MK Bases Model (Base Case)'!D7</f>
        <v>4.7278803783187846E-3</v>
      </c>
    </row>
    <row r="91" spans="2:20" x14ac:dyDescent="0.2">
      <c r="B91" s="67" t="s">
        <v>1190</v>
      </c>
      <c r="C91" s="67" t="s">
        <v>1190</v>
      </c>
      <c r="D91" s="67"/>
      <c r="E91" s="3"/>
      <c r="F91" s="72"/>
      <c r="G91" s="73"/>
      <c r="H91" s="73"/>
      <c r="I91" s="73"/>
      <c r="J91" s="73"/>
      <c r="K91" s="73"/>
      <c r="L91" s="73"/>
      <c r="M91" s="73"/>
      <c r="N91" s="73"/>
      <c r="O91" s="73"/>
      <c r="P91" s="73"/>
      <c r="Q91" s="72"/>
      <c r="R91" s="86">
        <f>'MK IMC Calculations'!E177</f>
        <v>10000</v>
      </c>
      <c r="T91" s="64">
        <f>'MK IMC Calculations'!D177</f>
        <v>0.01</v>
      </c>
    </row>
    <row r="92" spans="2:20" x14ac:dyDescent="0.2">
      <c r="B92" s="67" t="s">
        <v>1209</v>
      </c>
      <c r="C92" s="67" t="s">
        <v>1209</v>
      </c>
      <c r="D92" s="67"/>
      <c r="E92" s="3"/>
      <c r="G92" s="3"/>
      <c r="H92" s="3"/>
      <c r="I92" s="3"/>
      <c r="J92" s="3"/>
      <c r="K92" s="3"/>
      <c r="L92" s="3"/>
      <c r="M92" s="3"/>
      <c r="N92" s="3"/>
      <c r="O92" s="3"/>
      <c r="P92" s="3"/>
      <c r="T92" s="64">
        <v>0.01</v>
      </c>
    </row>
    <row r="93" spans="2:20" x14ac:dyDescent="0.2">
      <c r="B93" s="63" t="s">
        <v>1191</v>
      </c>
      <c r="C93" s="63" t="s">
        <v>1191</v>
      </c>
      <c r="D93" s="63"/>
      <c r="E93" s="63"/>
      <c r="F93" s="3"/>
      <c r="G93" s="3"/>
      <c r="H93" s="3"/>
      <c r="I93" s="3"/>
      <c r="J93" s="3"/>
      <c r="K93" s="3"/>
      <c r="L93" s="3"/>
      <c r="M93" s="3"/>
      <c r="N93" s="3"/>
      <c r="O93" s="3"/>
      <c r="P93" s="3"/>
      <c r="Q93" s="3"/>
    </row>
    <row r="94" spans="2:20" x14ac:dyDescent="0.2">
      <c r="B94" s="67" t="s">
        <v>1192</v>
      </c>
      <c r="C94" s="67" t="s">
        <v>1192</v>
      </c>
      <c r="D94" s="67"/>
      <c r="E94" s="67"/>
      <c r="F94" s="74"/>
      <c r="G94" s="74"/>
      <c r="H94" s="74"/>
      <c r="I94" s="74"/>
      <c r="J94" s="74"/>
      <c r="K94" s="74"/>
      <c r="L94" s="74"/>
      <c r="M94" s="74"/>
      <c r="N94" s="74"/>
      <c r="O94" s="74"/>
      <c r="P94" s="74"/>
      <c r="Q94" s="74"/>
      <c r="R94" s="86">
        <f>'MK IMC Calculations'!E186</f>
        <v>1500</v>
      </c>
      <c r="T94" s="64">
        <v>0</v>
      </c>
    </row>
    <row r="95" spans="2:20" x14ac:dyDescent="0.2">
      <c r="B95" s="82" t="s">
        <v>1210</v>
      </c>
      <c r="C95" s="82" t="s">
        <v>1210</v>
      </c>
      <c r="D95" s="82"/>
      <c r="E95" s="82"/>
      <c r="R95" s="86">
        <f>SUM(R64:R64,R70:R94)</f>
        <v>141626</v>
      </c>
    </row>
    <row r="96" spans="2:20" x14ac:dyDescent="0.2">
      <c r="B96" s="76" t="s">
        <v>1194</v>
      </c>
      <c r="C96" s="76" t="s">
        <v>1194</v>
      </c>
      <c r="D96" s="76"/>
      <c r="E96" s="76"/>
      <c r="F96" s="3"/>
      <c r="G96" s="3"/>
      <c r="H96" s="3"/>
      <c r="I96" s="3"/>
      <c r="J96" s="3"/>
      <c r="K96" s="3"/>
      <c r="L96" s="3"/>
      <c r="M96" s="3"/>
      <c r="N96" s="3"/>
      <c r="O96" s="3"/>
      <c r="P96" s="3"/>
      <c r="Q96" s="3"/>
      <c r="R96" s="86">
        <f>R95+R69</f>
        <v>155788.6</v>
      </c>
      <c r="T96" s="64">
        <f>SUM(T64:T94)</f>
        <v>0.11552788037831878</v>
      </c>
    </row>
    <row r="97" spans="2:20" x14ac:dyDescent="0.2">
      <c r="B97" s="61" t="s">
        <v>1195</v>
      </c>
      <c r="C97" s="61" t="s">
        <v>1195</v>
      </c>
      <c r="D97" s="61"/>
      <c r="E97" s="61"/>
      <c r="F97" s="3"/>
      <c r="G97" s="3"/>
      <c r="H97" s="3"/>
      <c r="I97" s="3"/>
      <c r="J97" s="3"/>
      <c r="K97" s="3"/>
      <c r="L97" s="3"/>
      <c r="M97" s="3"/>
      <c r="N97" s="3"/>
      <c r="O97" s="3"/>
      <c r="P97" s="3"/>
      <c r="Q97" s="3"/>
    </row>
    <row r="98" spans="2:20" x14ac:dyDescent="0.2">
      <c r="B98" s="67" t="s">
        <v>1196</v>
      </c>
      <c r="C98" s="67" t="s">
        <v>1196</v>
      </c>
      <c r="D98" s="67"/>
      <c r="E98" s="3"/>
      <c r="F98" s="3"/>
      <c r="G98" s="3"/>
      <c r="H98" s="3"/>
      <c r="I98" s="3"/>
      <c r="J98" s="3"/>
      <c r="K98" s="3"/>
      <c r="L98" s="3"/>
      <c r="M98" s="3"/>
      <c r="N98" s="3"/>
      <c r="O98" s="3"/>
      <c r="P98" s="3"/>
      <c r="Q98" s="3"/>
      <c r="R98" s="86">
        <f>'MK IMC Calculations'!D200</f>
        <v>17000</v>
      </c>
    </row>
    <row r="99" spans="2:20" x14ac:dyDescent="0.2">
      <c r="B99" s="91" t="s">
        <v>1197</v>
      </c>
      <c r="C99" s="91" t="s">
        <v>1197</v>
      </c>
      <c r="D99" s="67"/>
      <c r="E99" s="3"/>
      <c r="F99" s="3"/>
      <c r="G99" s="3"/>
      <c r="H99" s="3"/>
      <c r="I99" s="3"/>
      <c r="J99" s="3"/>
      <c r="K99" s="3"/>
      <c r="L99" s="3"/>
      <c r="M99" s="3"/>
      <c r="N99" s="3"/>
      <c r="O99" s="3"/>
      <c r="P99" s="78"/>
      <c r="Q99" s="3"/>
    </row>
    <row r="100" spans="2:20" x14ac:dyDescent="0.2">
      <c r="B100" s="79" t="s">
        <v>1198</v>
      </c>
      <c r="C100" s="79" t="s">
        <v>1198</v>
      </c>
      <c r="D100" s="67"/>
      <c r="E100" s="3"/>
      <c r="F100" s="3"/>
      <c r="G100" s="78"/>
      <c r="H100" s="3"/>
      <c r="I100" s="3"/>
      <c r="J100" s="3"/>
      <c r="K100" s="3"/>
      <c r="L100" s="3"/>
      <c r="M100" s="3"/>
      <c r="N100" s="3"/>
      <c r="O100" s="3"/>
      <c r="P100" s="3"/>
      <c r="Q100" s="3"/>
    </row>
    <row r="101" spans="2:20" x14ac:dyDescent="0.2">
      <c r="B101" s="67" t="s">
        <v>1199</v>
      </c>
      <c r="C101" s="67" t="s">
        <v>1199</v>
      </c>
      <c r="D101" s="67"/>
      <c r="E101" s="67"/>
      <c r="F101" s="3"/>
      <c r="G101" s="3"/>
      <c r="H101" s="3"/>
      <c r="I101" s="3"/>
      <c r="J101" s="3"/>
      <c r="K101" s="3"/>
      <c r="L101" s="3"/>
      <c r="M101" s="3"/>
      <c r="N101" s="3"/>
      <c r="O101" s="3"/>
      <c r="P101" s="3"/>
      <c r="Q101" s="3"/>
    </row>
    <row r="102" spans="2:20" x14ac:dyDescent="0.2">
      <c r="B102" s="92" t="s">
        <v>1211</v>
      </c>
      <c r="C102" s="92" t="s">
        <v>1211</v>
      </c>
      <c r="D102" s="67"/>
      <c r="E102" s="67"/>
      <c r="F102" s="3"/>
      <c r="G102" s="3"/>
      <c r="H102" s="3"/>
      <c r="I102" s="3"/>
      <c r="J102" s="3"/>
      <c r="K102" s="78"/>
      <c r="L102" s="3"/>
      <c r="M102" s="3"/>
      <c r="N102" s="3"/>
      <c r="O102" s="78"/>
      <c r="P102" s="3"/>
      <c r="Q102" s="3"/>
      <c r="R102" s="86">
        <f>'MK IMC Calculations'!D205</f>
        <v>7800</v>
      </c>
    </row>
    <row r="103" spans="2:20" x14ac:dyDescent="0.2">
      <c r="B103" s="76" t="s">
        <v>1201</v>
      </c>
      <c r="C103" s="76" t="s">
        <v>1201</v>
      </c>
      <c r="D103" s="76"/>
      <c r="E103" s="76"/>
      <c r="F103" s="60"/>
      <c r="R103" s="86">
        <f>SUM(R98:R102)</f>
        <v>24800</v>
      </c>
      <c r="T103" s="64">
        <f>0</f>
        <v>0</v>
      </c>
    </row>
    <row r="104" spans="2:20" x14ac:dyDescent="0.2">
      <c r="B104" s="81" t="s">
        <v>1202</v>
      </c>
      <c r="C104" s="81" t="s">
        <v>1202</v>
      </c>
      <c r="D104" s="81"/>
      <c r="E104" s="81"/>
      <c r="F104" s="60"/>
      <c r="R104" s="966">
        <f>R103+R96</f>
        <v>180588.6</v>
      </c>
      <c r="T104" s="967">
        <f>T96+T103</f>
        <v>0.11552788037831878</v>
      </c>
    </row>
    <row r="107" spans="2:20" ht="32" x14ac:dyDescent="0.2">
      <c r="Q107" s="88" t="s">
        <v>1212</v>
      </c>
      <c r="R107" s="86">
        <f>'FE Income Statement'!F5</f>
        <v>1325515.0044117649</v>
      </c>
    </row>
    <row r="108" spans="2:20" ht="32" x14ac:dyDescent="0.2">
      <c r="Q108" s="1266" t="s">
        <v>1204</v>
      </c>
      <c r="R108" s="58">
        <f>R104/R107</f>
        <v>0.13624032877707132</v>
      </c>
    </row>
    <row r="111" spans="2:20" ht="20" x14ac:dyDescent="0.25">
      <c r="B111" s="1032"/>
      <c r="C111" s="963" t="s">
        <v>1213</v>
      </c>
    </row>
    <row r="112" spans="2:20" ht="32" x14ac:dyDescent="0.2">
      <c r="B112" s="188" t="s">
        <v>1214</v>
      </c>
      <c r="C112" s="31" t="s">
        <v>1214</v>
      </c>
      <c r="D112" s="31"/>
      <c r="E112" s="31"/>
      <c r="F112" s="188" t="s">
        <v>1150</v>
      </c>
      <c r="G112" s="188" t="s">
        <v>1151</v>
      </c>
      <c r="H112" s="188" t="s">
        <v>1152</v>
      </c>
      <c r="I112" s="188" t="s">
        <v>1153</v>
      </c>
      <c r="J112" s="188" t="s">
        <v>1154</v>
      </c>
      <c r="K112" s="188" t="s">
        <v>1155</v>
      </c>
      <c r="L112" s="188" t="s">
        <v>1156</v>
      </c>
      <c r="M112" s="188" t="s">
        <v>1157</v>
      </c>
      <c r="N112" s="188" t="s">
        <v>1158</v>
      </c>
      <c r="O112" s="188" t="s">
        <v>1159</v>
      </c>
      <c r="P112" s="188" t="s">
        <v>1160</v>
      </c>
      <c r="Q112" s="188" t="s">
        <v>1161</v>
      </c>
      <c r="R112" s="790" t="s">
        <v>1162</v>
      </c>
      <c r="S112" s="188" t="s">
        <v>1163</v>
      </c>
      <c r="T112" s="791" t="s">
        <v>1164</v>
      </c>
    </row>
    <row r="113" spans="2:20" x14ac:dyDescent="0.2">
      <c r="B113" s="61" t="s">
        <v>1165</v>
      </c>
      <c r="C113" s="98" t="s">
        <v>1165</v>
      </c>
      <c r="D113" s="819"/>
      <c r="E113" s="819"/>
      <c r="F113" s="3"/>
      <c r="G113" s="3"/>
      <c r="H113" s="3"/>
      <c r="I113" s="3"/>
      <c r="J113" s="3"/>
      <c r="K113" s="3"/>
      <c r="L113" s="3"/>
      <c r="M113" s="3"/>
      <c r="N113" s="3"/>
      <c r="O113" s="3"/>
      <c r="P113" s="3"/>
      <c r="Q113" s="3"/>
    </row>
    <row r="114" spans="2:20" x14ac:dyDescent="0.2">
      <c r="B114" s="63" t="s">
        <v>1166</v>
      </c>
      <c r="C114" s="986" t="s">
        <v>1166</v>
      </c>
      <c r="D114" s="820"/>
      <c r="E114" s="820"/>
      <c r="F114" s="3"/>
      <c r="G114" s="3"/>
      <c r="H114" s="3"/>
      <c r="I114" s="3"/>
      <c r="J114" s="3"/>
      <c r="K114" s="3"/>
      <c r="L114" s="3"/>
      <c r="M114" s="3"/>
      <c r="N114" s="3"/>
      <c r="O114" s="3"/>
      <c r="P114" s="3"/>
      <c r="Q114" s="3"/>
    </row>
    <row r="115" spans="2:20" x14ac:dyDescent="0.2">
      <c r="B115" s="5" t="s">
        <v>1215</v>
      </c>
      <c r="C115" s="5" t="s">
        <v>1215</v>
      </c>
      <c r="H115" s="3"/>
      <c r="I115" s="3"/>
      <c r="J115" s="3"/>
      <c r="K115" s="3"/>
      <c r="L115" s="3"/>
      <c r="M115" s="3"/>
      <c r="N115" s="3"/>
      <c r="O115" s="3"/>
    </row>
    <row r="116" spans="2:20" ht="32" x14ac:dyDescent="0.2">
      <c r="B116" s="151" t="s">
        <v>1216</v>
      </c>
      <c r="C116" s="151" t="s">
        <v>1216</v>
      </c>
      <c r="F116" s="152"/>
      <c r="G116" s="152"/>
      <c r="P116" s="153"/>
      <c r="Q116" s="153"/>
      <c r="R116" s="86">
        <f>'MK IMC Calculations'!E23</f>
        <v>80000</v>
      </c>
      <c r="S116" s="95">
        <f>'MK IMC Calculations'!G25</f>
        <v>105.43721345500435</v>
      </c>
      <c r="T116" s="64">
        <f>'MK IMC Calculations'!C32</f>
        <v>0.08</v>
      </c>
    </row>
    <row r="117" spans="2:20" x14ac:dyDescent="0.2">
      <c r="B117" s="5" t="s">
        <v>1206</v>
      </c>
      <c r="C117" s="5" t="s">
        <v>1206</v>
      </c>
      <c r="F117" s="3"/>
      <c r="G117" s="3"/>
      <c r="H117" s="3"/>
      <c r="I117" s="3"/>
      <c r="J117" s="3"/>
      <c r="K117" s="3"/>
      <c r="L117" s="3"/>
      <c r="M117" s="3"/>
      <c r="N117" s="3"/>
      <c r="O117" s="3"/>
      <c r="P117" s="3"/>
      <c r="Q117" s="3"/>
      <c r="R117" s="86">
        <f>'MK IMC Calculations'!O122</f>
        <v>37600.080000000002</v>
      </c>
      <c r="T117" s="64">
        <f>'MK IMC Calculations'!G154</f>
        <v>0.03</v>
      </c>
    </row>
    <row r="118" spans="2:20" x14ac:dyDescent="0.2">
      <c r="B118" s="79" t="s">
        <v>1168</v>
      </c>
      <c r="C118" s="79" t="s">
        <v>1207</v>
      </c>
      <c r="F118" s="3"/>
      <c r="G118" s="65"/>
      <c r="H118" s="3"/>
      <c r="I118" s="3"/>
      <c r="J118" s="3"/>
      <c r="K118" s="3"/>
      <c r="L118" s="3"/>
      <c r="M118" s="3"/>
      <c r="N118" s="3"/>
      <c r="O118" s="3"/>
      <c r="P118" s="65"/>
      <c r="Q118" s="3"/>
    </row>
    <row r="119" spans="2:20" x14ac:dyDescent="0.2">
      <c r="B119" s="79" t="s">
        <v>1169</v>
      </c>
      <c r="C119" s="79" t="s">
        <v>1169</v>
      </c>
      <c r="F119" s="65"/>
      <c r="G119" s="3"/>
      <c r="H119" s="3"/>
      <c r="I119" s="3"/>
      <c r="J119" s="3"/>
      <c r="K119" s="3"/>
      <c r="L119" s="3"/>
      <c r="M119" s="3"/>
      <c r="N119" s="3"/>
      <c r="O119" s="65"/>
      <c r="P119" s="3"/>
      <c r="Q119" s="3"/>
    </row>
    <row r="120" spans="2:20" x14ac:dyDescent="0.2">
      <c r="B120" s="79" t="s">
        <v>1170</v>
      </c>
      <c r="C120" s="79" t="s">
        <v>1170</v>
      </c>
      <c r="F120" s="3"/>
      <c r="G120" s="3"/>
      <c r="H120" s="65"/>
      <c r="I120" s="3"/>
      <c r="J120" s="3"/>
      <c r="K120" s="65"/>
      <c r="L120" s="3"/>
      <c r="M120" s="3"/>
      <c r="N120" s="3"/>
      <c r="O120" s="3"/>
      <c r="P120" s="3"/>
      <c r="Q120" s="3"/>
    </row>
    <row r="121" spans="2:20" x14ac:dyDescent="0.2">
      <c r="B121" s="79" t="s">
        <v>1171</v>
      </c>
      <c r="C121" s="79" t="s">
        <v>1171</v>
      </c>
      <c r="F121" s="3"/>
      <c r="G121" s="3"/>
      <c r="H121" s="3"/>
      <c r="I121" s="3"/>
      <c r="J121" s="3"/>
      <c r="K121" s="3"/>
      <c r="L121" s="3"/>
      <c r="M121" s="3"/>
      <c r="N121" s="3"/>
      <c r="O121" s="65"/>
      <c r="P121" s="3"/>
      <c r="Q121" s="65"/>
    </row>
    <row r="122" spans="2:20" ht="16" x14ac:dyDescent="0.2">
      <c r="B122" s="151" t="s">
        <v>1217</v>
      </c>
      <c r="C122" s="151" t="s">
        <v>1217</v>
      </c>
      <c r="F122" s="65"/>
      <c r="G122" s="3"/>
      <c r="H122" s="3"/>
      <c r="I122" s="3"/>
      <c r="J122" s="3"/>
      <c r="K122" s="3"/>
      <c r="L122" s="3"/>
      <c r="M122" s="3"/>
      <c r="N122" s="3"/>
      <c r="O122" s="3"/>
      <c r="P122" s="3"/>
    </row>
    <row r="123" spans="2:20" ht="16" x14ac:dyDescent="0.2">
      <c r="B123" s="151" t="s">
        <v>1218</v>
      </c>
      <c r="C123" s="151" t="s">
        <v>1218</v>
      </c>
      <c r="F123" s="3"/>
      <c r="G123" s="65"/>
      <c r="H123" s="3"/>
      <c r="I123" s="3"/>
      <c r="J123" s="3"/>
      <c r="K123" s="3"/>
      <c r="L123" s="3"/>
      <c r="M123" s="3"/>
      <c r="N123" s="3"/>
      <c r="O123" s="3"/>
      <c r="P123" s="3"/>
    </row>
    <row r="124" spans="2:20" x14ac:dyDescent="0.2">
      <c r="B124" s="67" t="s">
        <v>1172</v>
      </c>
      <c r="C124" s="67" t="s">
        <v>1172</v>
      </c>
      <c r="F124" s="160"/>
      <c r="G124" s="160"/>
      <c r="H124" s="160"/>
      <c r="I124" s="160"/>
      <c r="J124" s="160"/>
      <c r="K124" s="160"/>
      <c r="L124" s="160"/>
      <c r="M124" s="160"/>
      <c r="N124" s="160"/>
      <c r="O124" s="160"/>
      <c r="P124" s="160"/>
      <c r="Q124" s="160"/>
      <c r="R124" s="86">
        <f>'MK IMC Calculations'!E39*R145</f>
        <v>21910.008000000002</v>
      </c>
      <c r="T124" s="64">
        <f>'MK IMC Calculations'!C39</f>
        <v>0.03</v>
      </c>
    </row>
    <row r="125" spans="2:20" x14ac:dyDescent="0.2">
      <c r="B125" s="67" t="s">
        <v>1208</v>
      </c>
      <c r="C125" s="67" t="s">
        <v>1208</v>
      </c>
      <c r="P125" s="3"/>
      <c r="Q125" s="3"/>
      <c r="R125" s="86">
        <f>'MK IMC Calculations'!G13</f>
        <v>60000</v>
      </c>
      <c r="T125" s="64">
        <f>'MK IMC Calculations'!G17</f>
        <v>2.4E-2</v>
      </c>
    </row>
    <row r="126" spans="2:20" x14ac:dyDescent="0.2">
      <c r="B126" s="79" t="s">
        <v>1174</v>
      </c>
      <c r="C126" s="79" t="s">
        <v>1174</v>
      </c>
      <c r="F126" t="s">
        <v>38</v>
      </c>
      <c r="K126" s="155"/>
      <c r="L126" s="155"/>
      <c r="M126" s="154"/>
      <c r="O126" s="3"/>
      <c r="P126" s="155"/>
      <c r="Q126" s="155"/>
    </row>
    <row r="127" spans="2:20" x14ac:dyDescent="0.2">
      <c r="B127" s="79" t="s">
        <v>1175</v>
      </c>
      <c r="C127" s="79" t="s">
        <v>1175</v>
      </c>
      <c r="K127" s="154"/>
      <c r="L127" s="155"/>
      <c r="M127" s="154"/>
      <c r="O127" s="3"/>
      <c r="P127" s="155"/>
      <c r="Q127" s="155"/>
    </row>
    <row r="128" spans="2:20" x14ac:dyDescent="0.2">
      <c r="B128" s="79" t="s">
        <v>1176</v>
      </c>
      <c r="C128" s="79" t="s">
        <v>1176</v>
      </c>
      <c r="K128" s="154"/>
      <c r="L128" s="155"/>
      <c r="M128" s="154"/>
      <c r="O128" s="3"/>
      <c r="P128" s="155"/>
      <c r="Q128" s="155"/>
    </row>
    <row r="129" spans="2:20" x14ac:dyDescent="0.2">
      <c r="B129" s="79" t="s">
        <v>1177</v>
      </c>
      <c r="C129" s="79" t="s">
        <v>1177</v>
      </c>
      <c r="I129" s="155"/>
      <c r="J129" s="155"/>
      <c r="M129" s="154"/>
      <c r="N129" s="155"/>
      <c r="O129" s="154"/>
    </row>
    <row r="130" spans="2:20" x14ac:dyDescent="0.2">
      <c r="B130" s="79" t="s">
        <v>1178</v>
      </c>
      <c r="C130" s="79" t="s">
        <v>1178</v>
      </c>
      <c r="I130" s="155"/>
      <c r="J130" s="155"/>
      <c r="M130" s="154"/>
      <c r="N130" s="155"/>
      <c r="O130" s="154"/>
    </row>
    <row r="131" spans="2:20" x14ac:dyDescent="0.2">
      <c r="B131" s="79" t="s">
        <v>1179</v>
      </c>
      <c r="C131" s="79" t="s">
        <v>1179</v>
      </c>
      <c r="I131" s="155"/>
      <c r="J131" s="155"/>
      <c r="M131" s="154"/>
      <c r="N131" s="155"/>
      <c r="O131" s="154"/>
    </row>
    <row r="132" spans="2:20" x14ac:dyDescent="0.2">
      <c r="B132" s="79" t="s">
        <v>1180</v>
      </c>
      <c r="C132" s="79" t="s">
        <v>1180</v>
      </c>
      <c r="I132" s="155"/>
      <c r="J132" s="155"/>
      <c r="M132" s="154"/>
      <c r="N132" s="155"/>
      <c r="O132" s="154"/>
    </row>
    <row r="133" spans="2:20" x14ac:dyDescent="0.2">
      <c r="B133" s="79" t="s">
        <v>1181</v>
      </c>
      <c r="C133" s="79" t="s">
        <v>1181</v>
      </c>
      <c r="K133" s="154"/>
      <c r="L133" s="155"/>
      <c r="M133" s="154"/>
      <c r="O133" s="3"/>
      <c r="P133" s="155"/>
      <c r="Q133" s="155"/>
    </row>
    <row r="134" spans="2:20" x14ac:dyDescent="0.2">
      <c r="B134" s="79" t="s">
        <v>1182</v>
      </c>
      <c r="C134" s="79"/>
      <c r="I134" s="155"/>
      <c r="J134" s="155"/>
      <c r="M134" s="154"/>
      <c r="N134" s="155"/>
      <c r="O134" s="154"/>
      <c r="P134" s="3"/>
      <c r="Q134" s="3"/>
    </row>
    <row r="135" spans="2:20" x14ac:dyDescent="0.2">
      <c r="B135" s="79" t="s">
        <v>1183</v>
      </c>
      <c r="C135" s="79"/>
      <c r="I135" s="155"/>
      <c r="J135" s="155"/>
      <c r="M135" s="154"/>
      <c r="N135" s="155"/>
      <c r="O135" s="154"/>
      <c r="P135" s="3"/>
      <c r="Q135" s="3"/>
    </row>
    <row r="136" spans="2:20" x14ac:dyDescent="0.2">
      <c r="B136" s="5" t="s">
        <v>1219</v>
      </c>
      <c r="C136" s="5" t="s">
        <v>1219</v>
      </c>
      <c r="R136" s="86">
        <f>'MK IMC Calculations'!C81</f>
        <v>30000</v>
      </c>
      <c r="T136" s="64">
        <f>'MK IMC Calculations'!E82</f>
        <v>0.03</v>
      </c>
    </row>
    <row r="137" spans="2:20" x14ac:dyDescent="0.2">
      <c r="B137" s="161" t="s">
        <v>1220</v>
      </c>
      <c r="C137" s="161" t="s">
        <v>1220</v>
      </c>
      <c r="F137" s="69"/>
      <c r="G137" s="69"/>
      <c r="H137" s="69"/>
      <c r="I137" s="69"/>
      <c r="J137" s="69"/>
      <c r="K137" s="3"/>
      <c r="M137" s="3"/>
      <c r="O137" s="3"/>
      <c r="P137" s="3"/>
      <c r="Q137" s="3"/>
    </row>
    <row r="138" spans="2:20" x14ac:dyDescent="0.2">
      <c r="B138" s="161" t="s">
        <v>1221</v>
      </c>
      <c r="C138" s="161" t="s">
        <v>1221</v>
      </c>
      <c r="K138" s="3"/>
      <c r="L138" s="3"/>
      <c r="M138" s="159"/>
      <c r="N138" s="69"/>
      <c r="O138" s="69"/>
      <c r="P138" s="159"/>
      <c r="Q138" s="159"/>
    </row>
    <row r="139" spans="2:20" x14ac:dyDescent="0.2">
      <c r="B139" s="63" t="s">
        <v>1188</v>
      </c>
      <c r="C139" s="63" t="s">
        <v>1188</v>
      </c>
      <c r="F139" s="3"/>
      <c r="G139" s="3"/>
      <c r="H139" s="3"/>
      <c r="I139" s="3"/>
      <c r="J139" s="3"/>
      <c r="K139" s="3"/>
      <c r="L139" s="3"/>
      <c r="M139" s="3"/>
      <c r="N139" s="3"/>
      <c r="O139" s="3"/>
      <c r="P139" s="3"/>
      <c r="Q139" s="3"/>
    </row>
    <row r="140" spans="2:20" x14ac:dyDescent="0.2">
      <c r="B140" s="70" t="s">
        <v>1189</v>
      </c>
      <c r="C140" s="70" t="s">
        <v>1189</v>
      </c>
      <c r="F140" s="3"/>
      <c r="G140" s="3"/>
      <c r="H140" s="3"/>
      <c r="I140" s="3"/>
      <c r="J140" s="3"/>
      <c r="K140" s="3"/>
      <c r="L140" s="3"/>
      <c r="M140" s="3"/>
      <c r="N140" s="3"/>
      <c r="O140" s="3"/>
      <c r="P140" s="3"/>
      <c r="Q140" s="3"/>
      <c r="T140" s="64">
        <f>'MK IMC Calculations'!E164*0.5*3/'MK Bases Model (Base Case)'!E7</f>
        <v>1.1998165958337336E-2</v>
      </c>
    </row>
    <row r="141" spans="2:20" x14ac:dyDescent="0.2">
      <c r="B141" s="67" t="s">
        <v>1190</v>
      </c>
      <c r="C141" s="67" t="s">
        <v>1190</v>
      </c>
      <c r="F141" s="72"/>
      <c r="G141" s="73"/>
      <c r="H141" s="73"/>
      <c r="I141" s="73"/>
      <c r="J141" s="73"/>
      <c r="K141" s="73"/>
      <c r="L141" s="73"/>
      <c r="M141" s="73"/>
      <c r="N141" s="73"/>
      <c r="O141" s="73"/>
      <c r="P141" s="73"/>
      <c r="Q141" s="72"/>
      <c r="R141" s="86">
        <f>'MK IMC Calculations'!E178</f>
        <v>10000</v>
      </c>
      <c r="T141" s="64">
        <f>'MK IMC Calculations'!D178</f>
        <v>0.01</v>
      </c>
    </row>
    <row r="142" spans="2:20" x14ac:dyDescent="0.2">
      <c r="B142" s="67" t="s">
        <v>1209</v>
      </c>
      <c r="C142" s="67" t="s">
        <v>1209</v>
      </c>
      <c r="G142" s="3"/>
      <c r="H142" s="3"/>
      <c r="I142" s="3"/>
      <c r="J142" s="3"/>
      <c r="K142" s="3"/>
      <c r="L142" s="3"/>
      <c r="M142" s="3"/>
      <c r="N142" s="3"/>
      <c r="O142" s="3"/>
      <c r="P142" s="3"/>
      <c r="T142" s="200">
        <v>0.01</v>
      </c>
    </row>
    <row r="143" spans="2:20" x14ac:dyDescent="0.2">
      <c r="B143" s="63" t="s">
        <v>1191</v>
      </c>
      <c r="C143" s="63" t="s">
        <v>1191</v>
      </c>
      <c r="F143" s="3"/>
      <c r="G143" s="3"/>
      <c r="H143" s="3"/>
      <c r="I143" s="3"/>
      <c r="J143" s="3"/>
      <c r="K143" s="3"/>
      <c r="L143" s="3"/>
      <c r="M143" s="3"/>
      <c r="N143" s="3"/>
      <c r="O143" s="3"/>
      <c r="P143" s="3"/>
      <c r="Q143" s="3"/>
    </row>
    <row r="144" spans="2:20" x14ac:dyDescent="0.2">
      <c r="B144" s="67" t="s">
        <v>1192</v>
      </c>
      <c r="C144" s="67" t="s">
        <v>1192</v>
      </c>
      <c r="F144" s="74"/>
      <c r="G144" s="74"/>
      <c r="H144" s="74"/>
      <c r="I144" s="74"/>
      <c r="J144" s="74"/>
      <c r="K144" s="74"/>
      <c r="L144" s="74"/>
      <c r="M144" s="74"/>
      <c r="N144" s="74"/>
      <c r="O144" s="74"/>
      <c r="P144" s="74"/>
      <c r="Q144" s="74"/>
      <c r="R144" s="86">
        <f>'MK IMC Calculations'!E187</f>
        <v>1500</v>
      </c>
    </row>
    <row r="145" spans="2:20" x14ac:dyDescent="0.2">
      <c r="B145" s="82" t="s">
        <v>1222</v>
      </c>
      <c r="C145" s="82" t="s">
        <v>1222</v>
      </c>
      <c r="R145" s="86">
        <f>SUM(R116:R117,R125,R136:R144)</f>
        <v>219100.08000000002</v>
      </c>
    </row>
    <row r="146" spans="2:20" ht="16" thickBot="1" x14ac:dyDescent="0.25">
      <c r="B146" s="83" t="s">
        <v>1194</v>
      </c>
      <c r="C146" s="83" t="s">
        <v>1194</v>
      </c>
      <c r="F146" s="84"/>
      <c r="G146" s="84"/>
      <c r="H146" s="84"/>
      <c r="I146" s="84"/>
      <c r="J146" s="84"/>
      <c r="K146" s="84"/>
      <c r="L146" s="84"/>
      <c r="M146" s="84"/>
      <c r="N146" s="84"/>
      <c r="O146" s="84"/>
      <c r="P146" s="84"/>
      <c r="Q146" s="84"/>
      <c r="R146" s="977">
        <f>R145+R124</f>
        <v>241010.08800000002</v>
      </c>
      <c r="S146" s="167"/>
      <c r="T146" s="851">
        <f>SUM(T116:T145)</f>
        <v>0.22599816595833735</v>
      </c>
    </row>
    <row r="147" spans="2:20" x14ac:dyDescent="0.2">
      <c r="B147" s="61" t="s">
        <v>1195</v>
      </c>
      <c r="C147" s="61" t="s">
        <v>1195</v>
      </c>
      <c r="F147" s="3"/>
      <c r="G147" s="3"/>
      <c r="H147" s="3"/>
      <c r="I147" s="3"/>
      <c r="J147" s="3"/>
      <c r="K147" s="3"/>
      <c r="L147" s="3"/>
      <c r="M147" s="3"/>
      <c r="N147" s="3"/>
      <c r="O147" s="3"/>
      <c r="P147" s="3"/>
      <c r="Q147" s="3"/>
    </row>
    <row r="148" spans="2:20" x14ac:dyDescent="0.2">
      <c r="B148" s="67" t="s">
        <v>1196</v>
      </c>
      <c r="C148" s="67" t="s">
        <v>1196</v>
      </c>
      <c r="F148" s="3"/>
      <c r="G148" s="3"/>
      <c r="H148" s="3"/>
      <c r="I148" s="3"/>
      <c r="J148" s="3"/>
      <c r="K148" s="3"/>
      <c r="L148" s="3"/>
      <c r="M148" s="3"/>
      <c r="N148" s="3"/>
      <c r="O148" s="3"/>
      <c r="P148" s="3"/>
      <c r="Q148" s="3"/>
      <c r="R148" s="86">
        <f>'MK IMC Calculations'!D201</f>
        <v>17000</v>
      </c>
    </row>
    <row r="149" spans="2:20" x14ac:dyDescent="0.2">
      <c r="B149" s="91" t="s">
        <v>1197</v>
      </c>
      <c r="C149" s="91" t="s">
        <v>1197</v>
      </c>
      <c r="F149" s="3"/>
      <c r="G149" s="3"/>
      <c r="H149" s="3"/>
      <c r="I149" s="3"/>
      <c r="J149" s="3"/>
      <c r="K149" s="3"/>
      <c r="L149" s="3"/>
      <c r="M149" s="3"/>
      <c r="N149" s="3"/>
      <c r="O149" s="3"/>
      <c r="P149" s="78"/>
      <c r="Q149" s="3"/>
    </row>
    <row r="150" spans="2:20" x14ac:dyDescent="0.2">
      <c r="B150" s="79" t="s">
        <v>1198</v>
      </c>
      <c r="C150" s="79" t="s">
        <v>1198</v>
      </c>
      <c r="F150" s="3"/>
      <c r="G150" s="78"/>
      <c r="H150" s="3"/>
      <c r="I150" s="3"/>
      <c r="J150" s="3"/>
      <c r="K150" s="3"/>
      <c r="L150" s="3"/>
      <c r="M150" s="3"/>
      <c r="N150" s="3"/>
      <c r="O150" s="3"/>
      <c r="P150" s="3"/>
      <c r="Q150" s="3"/>
    </row>
    <row r="151" spans="2:20" x14ac:dyDescent="0.2">
      <c r="B151" s="67" t="s">
        <v>1199</v>
      </c>
      <c r="C151" s="67" t="s">
        <v>1199</v>
      </c>
      <c r="F151" s="3"/>
      <c r="G151" s="3"/>
      <c r="H151" s="3"/>
      <c r="I151" s="3"/>
      <c r="J151" s="3"/>
      <c r="K151" s="3"/>
      <c r="L151" s="3"/>
      <c r="M151" s="3"/>
      <c r="N151" s="3"/>
      <c r="O151" s="3"/>
      <c r="P151" s="3"/>
      <c r="Q151" s="3"/>
      <c r="R151" s="86">
        <f>'MK IMC Calculations'!D206</f>
        <v>7800</v>
      </c>
    </row>
    <row r="152" spans="2:20" x14ac:dyDescent="0.2">
      <c r="B152" s="92" t="s">
        <v>1200</v>
      </c>
      <c r="C152" s="92" t="s">
        <v>1200</v>
      </c>
      <c r="F152" s="3"/>
      <c r="G152" s="3"/>
      <c r="H152" s="3"/>
      <c r="I152" s="3"/>
      <c r="J152" s="3"/>
      <c r="K152" s="78"/>
      <c r="L152" s="3"/>
      <c r="M152" s="3"/>
      <c r="N152" s="3"/>
      <c r="O152" s="78"/>
      <c r="P152" s="3"/>
      <c r="Q152" s="3"/>
    </row>
    <row r="153" spans="2:20" x14ac:dyDescent="0.2">
      <c r="B153" s="76" t="s">
        <v>1201</v>
      </c>
      <c r="C153" s="76" t="s">
        <v>1201</v>
      </c>
      <c r="F153" s="3"/>
      <c r="G153" s="3"/>
      <c r="H153" s="3"/>
      <c r="I153" s="3"/>
      <c r="J153" s="3"/>
      <c r="K153" s="3"/>
      <c r="L153" s="3"/>
      <c r="M153" s="3"/>
      <c r="N153" s="3"/>
      <c r="O153" s="3"/>
      <c r="P153" s="3"/>
      <c r="Q153" s="3"/>
      <c r="R153" s="86">
        <f>SUM(R148:R151)</f>
        <v>24800</v>
      </c>
      <c r="T153" s="64">
        <f>SUM(T148,T151)</f>
        <v>0</v>
      </c>
    </row>
    <row r="154" spans="2:20" x14ac:dyDescent="0.2">
      <c r="B154" s="81" t="s">
        <v>1202</v>
      </c>
      <c r="C154" s="81" t="s">
        <v>1202</v>
      </c>
      <c r="F154" s="3"/>
      <c r="G154" s="3"/>
      <c r="H154" s="3"/>
      <c r="I154" s="3"/>
      <c r="J154" s="3"/>
      <c r="K154" s="3"/>
      <c r="L154" s="3"/>
      <c r="M154" s="3"/>
      <c r="N154" s="3"/>
      <c r="O154" s="3"/>
      <c r="P154" s="3"/>
      <c r="Q154" s="3"/>
      <c r="R154" s="966">
        <f>R153+R146</f>
        <v>265810.08799999999</v>
      </c>
      <c r="T154" s="967">
        <f>T146+T153</f>
        <v>0.22599816595833735</v>
      </c>
    </row>
    <row r="156" spans="2:20" ht="32" x14ac:dyDescent="0.2">
      <c r="Q156" s="88" t="s">
        <v>1223</v>
      </c>
      <c r="R156" s="86">
        <f>'FE Income Statement'!G5</f>
        <v>3292776.7905232785</v>
      </c>
    </row>
    <row r="157" spans="2:20" ht="32" x14ac:dyDescent="0.2">
      <c r="Q157" s="1266" t="s">
        <v>1204</v>
      </c>
      <c r="R157" s="631">
        <f>R154/R156</f>
        <v>8.0725206993990689E-2</v>
      </c>
    </row>
    <row r="160" spans="2:20" ht="20" x14ac:dyDescent="0.25">
      <c r="B160" s="1032"/>
      <c r="C160" s="963" t="s">
        <v>1224</v>
      </c>
    </row>
    <row r="161" spans="2:20" ht="60" x14ac:dyDescent="0.25">
      <c r="B161" s="1280" t="s">
        <v>1225</v>
      </c>
      <c r="C161" s="1281" t="s">
        <v>1225</v>
      </c>
      <c r="D161" s="1281"/>
      <c r="E161" s="1281"/>
      <c r="F161" s="1280" t="s">
        <v>1150</v>
      </c>
      <c r="G161" s="1280" t="s">
        <v>1151</v>
      </c>
      <c r="H161" s="1280" t="s">
        <v>1152</v>
      </c>
      <c r="I161" s="1280" t="s">
        <v>1153</v>
      </c>
      <c r="J161" s="1280" t="s">
        <v>1154</v>
      </c>
      <c r="K161" s="1280" t="s">
        <v>1155</v>
      </c>
      <c r="L161" s="1280" t="s">
        <v>1156</v>
      </c>
      <c r="M161" s="1280" t="s">
        <v>1157</v>
      </c>
      <c r="N161" s="1280" t="s">
        <v>1158</v>
      </c>
      <c r="O161" s="1280" t="s">
        <v>1159</v>
      </c>
      <c r="P161" s="1280" t="s">
        <v>1160</v>
      </c>
      <c r="Q161" s="1280" t="s">
        <v>1161</v>
      </c>
      <c r="R161" s="1282" t="s">
        <v>1162</v>
      </c>
      <c r="S161" s="1280" t="s">
        <v>1163</v>
      </c>
      <c r="T161" s="1283" t="s">
        <v>1164</v>
      </c>
    </row>
    <row r="162" spans="2:20" ht="19" x14ac:dyDescent="0.25">
      <c r="B162" s="1275" t="s">
        <v>1165</v>
      </c>
      <c r="C162" s="1284" t="s">
        <v>1165</v>
      </c>
      <c r="D162" s="1285"/>
      <c r="E162" s="1285"/>
      <c r="F162" s="1286"/>
      <c r="G162" s="1286"/>
      <c r="H162" s="1286"/>
      <c r="I162" s="1286"/>
      <c r="J162" s="1286"/>
      <c r="K162" s="1286"/>
      <c r="L162" s="1286"/>
      <c r="M162" s="1286"/>
      <c r="N162" s="1286"/>
      <c r="O162" s="1286"/>
      <c r="P162" s="1286"/>
      <c r="Q162" s="1286"/>
      <c r="R162" s="1034"/>
      <c r="S162" s="618"/>
      <c r="T162" s="1033"/>
    </row>
    <row r="163" spans="2:20" ht="19" x14ac:dyDescent="0.25">
      <c r="B163" s="1271" t="s">
        <v>1166</v>
      </c>
      <c r="C163" s="1287" t="s">
        <v>1166</v>
      </c>
      <c r="D163" s="1288"/>
      <c r="E163" s="1288"/>
      <c r="F163" s="1286"/>
      <c r="G163" s="1286"/>
      <c r="H163" s="1286"/>
      <c r="I163" s="1286"/>
      <c r="J163" s="1286"/>
      <c r="K163" s="1286"/>
      <c r="L163" s="1286"/>
      <c r="M163" s="1286"/>
      <c r="N163" s="1286"/>
      <c r="O163" s="1286"/>
      <c r="P163" s="1286"/>
      <c r="Q163" s="1286"/>
      <c r="R163" s="1034"/>
      <c r="S163" s="618"/>
      <c r="T163" s="1033"/>
    </row>
    <row r="164" spans="2:20" ht="19" x14ac:dyDescent="0.25">
      <c r="B164" s="645" t="s">
        <v>1215</v>
      </c>
      <c r="C164" s="645" t="s">
        <v>1215</v>
      </c>
      <c r="D164" s="618"/>
      <c r="E164" s="618"/>
      <c r="F164" s="618"/>
      <c r="G164" s="618"/>
      <c r="H164" s="1286"/>
      <c r="I164" s="1286"/>
      <c r="J164" s="1286"/>
      <c r="K164" s="1286"/>
      <c r="L164" s="1286"/>
      <c r="M164" s="1286"/>
      <c r="N164" s="1286"/>
      <c r="O164" s="1286"/>
      <c r="P164" s="618"/>
      <c r="Q164" s="618"/>
      <c r="R164" s="1034"/>
      <c r="S164" s="618"/>
      <c r="T164" s="1033"/>
    </row>
    <row r="165" spans="2:20" ht="60" x14ac:dyDescent="0.25">
      <c r="B165" s="1267" t="s">
        <v>1216</v>
      </c>
      <c r="C165" s="1267" t="s">
        <v>1216</v>
      </c>
      <c r="D165" s="618"/>
      <c r="E165" s="618"/>
      <c r="F165" s="1289"/>
      <c r="G165" s="1289"/>
      <c r="H165" s="618"/>
      <c r="I165" s="618"/>
      <c r="J165" s="618"/>
      <c r="K165" s="618"/>
      <c r="L165" s="618"/>
      <c r="M165" s="618"/>
      <c r="N165" s="618"/>
      <c r="O165" s="618"/>
      <c r="P165" s="1290"/>
      <c r="Q165" s="1290"/>
      <c r="R165" s="1034">
        <f>'MK IMC Calculations'!K23</f>
        <v>80000</v>
      </c>
      <c r="S165" s="1291">
        <f>'MK IMC Calculations'!M25</f>
        <v>105.43721345500435</v>
      </c>
      <c r="T165" s="1033">
        <f>'MK IMC Calculations'!I32</f>
        <v>0.08</v>
      </c>
    </row>
    <row r="166" spans="2:20" ht="19" x14ac:dyDescent="0.25">
      <c r="B166" s="645" t="s">
        <v>1206</v>
      </c>
      <c r="C166" s="645" t="s">
        <v>1206</v>
      </c>
      <c r="D166" s="618"/>
      <c r="E166" s="618"/>
      <c r="F166" s="1286"/>
      <c r="G166" s="1286"/>
      <c r="H166" s="1286"/>
      <c r="I166" s="1286"/>
      <c r="J166" s="1286"/>
      <c r="K166" s="1286"/>
      <c r="L166" s="1286"/>
      <c r="M166" s="1286"/>
      <c r="N166" s="1286"/>
      <c r="O166" s="1286"/>
      <c r="P166" s="1286"/>
      <c r="Q166" s="1286"/>
      <c r="R166" s="1034">
        <f>'MK IMC Calculations'!O135</f>
        <v>42454.000000000007</v>
      </c>
      <c r="S166" s="618"/>
      <c r="T166" s="1033">
        <f>'MK IMC Calculations'!G155</f>
        <v>0.03</v>
      </c>
    </row>
    <row r="167" spans="2:20" ht="19" x14ac:dyDescent="0.25">
      <c r="B167" s="1268" t="s">
        <v>1168</v>
      </c>
      <c r="C167" s="1268" t="s">
        <v>1168</v>
      </c>
      <c r="D167" s="618"/>
      <c r="E167" s="618"/>
      <c r="F167" s="1286"/>
      <c r="G167" s="1292"/>
      <c r="H167" s="1286"/>
      <c r="I167" s="1292"/>
      <c r="J167" s="1286"/>
      <c r="K167" s="1286"/>
      <c r="L167" s="1286"/>
      <c r="M167" s="1286"/>
      <c r="N167" s="1286"/>
      <c r="O167" s="1286"/>
      <c r="P167" s="1286"/>
      <c r="Q167" s="1286"/>
      <c r="R167" s="1034"/>
      <c r="S167" s="618"/>
      <c r="T167" s="1033"/>
    </row>
    <row r="168" spans="2:20" ht="19" x14ac:dyDescent="0.25">
      <c r="B168" s="1268" t="s">
        <v>1226</v>
      </c>
      <c r="C168" s="1268" t="s">
        <v>1226</v>
      </c>
      <c r="D168" s="618"/>
      <c r="E168" s="618"/>
      <c r="F168" s="1286"/>
      <c r="G168" s="1286"/>
      <c r="H168" s="1286"/>
      <c r="I168" s="1286"/>
      <c r="J168" s="1286"/>
      <c r="K168" s="1286"/>
      <c r="L168" s="1286"/>
      <c r="M168" s="1286"/>
      <c r="N168" s="1286"/>
      <c r="O168" s="1292"/>
      <c r="P168" s="1286"/>
      <c r="Q168" s="1292"/>
      <c r="R168" s="1034"/>
      <c r="S168" s="618"/>
      <c r="T168" s="1033"/>
    </row>
    <row r="169" spans="2:20" ht="19" x14ac:dyDescent="0.25">
      <c r="B169" s="1268" t="s">
        <v>1227</v>
      </c>
      <c r="C169" s="1268" t="s">
        <v>1227</v>
      </c>
      <c r="D169" s="618"/>
      <c r="E169" s="618"/>
      <c r="F169" s="1286"/>
      <c r="G169" s="1286"/>
      <c r="H169" s="1292"/>
      <c r="I169" s="1286"/>
      <c r="J169" s="1286"/>
      <c r="K169" s="1286"/>
      <c r="L169" s="1286"/>
      <c r="M169" s="1292"/>
      <c r="N169" s="1286"/>
      <c r="O169" s="1286"/>
      <c r="P169" s="1286"/>
      <c r="Q169" s="1286"/>
      <c r="R169" s="1034"/>
      <c r="S169" s="618"/>
      <c r="T169" s="1033"/>
    </row>
    <row r="170" spans="2:20" ht="19" x14ac:dyDescent="0.25">
      <c r="B170" s="1268" t="s">
        <v>1228</v>
      </c>
      <c r="C170" s="1268" t="s">
        <v>1228</v>
      </c>
      <c r="D170" s="618"/>
      <c r="E170" s="618"/>
      <c r="F170" s="1286"/>
      <c r="G170" s="1286"/>
      <c r="H170" s="1286"/>
      <c r="I170" s="1286"/>
      <c r="J170" s="1286"/>
      <c r="K170" s="1292"/>
      <c r="L170" s="1286"/>
      <c r="M170" s="1286"/>
      <c r="N170" s="1286"/>
      <c r="O170" s="1292"/>
      <c r="P170" s="1286"/>
      <c r="Q170" s="1286"/>
      <c r="R170" s="1034"/>
      <c r="S170" s="618"/>
      <c r="T170" s="1033"/>
    </row>
    <row r="171" spans="2:20" ht="20" x14ac:dyDescent="0.25">
      <c r="B171" s="1267" t="s">
        <v>1229</v>
      </c>
      <c r="C171" s="1267" t="s">
        <v>1229</v>
      </c>
      <c r="D171" s="618"/>
      <c r="E171" s="618"/>
      <c r="F171" s="1286"/>
      <c r="G171" s="1292"/>
      <c r="H171" s="1286"/>
      <c r="I171" s="1286"/>
      <c r="J171" s="1286"/>
      <c r="K171" s="1286"/>
      <c r="L171" s="1286"/>
      <c r="M171" s="1293"/>
      <c r="N171" s="1286"/>
      <c r="O171" s="1286"/>
      <c r="P171" s="1286"/>
      <c r="Q171" s="618"/>
      <c r="R171" s="1034"/>
      <c r="S171" s="618"/>
      <c r="T171" s="1033"/>
    </row>
    <row r="172" spans="2:20" ht="40" x14ac:dyDescent="0.25">
      <c r="B172" s="1267" t="s">
        <v>1217</v>
      </c>
      <c r="C172" s="1267" t="s">
        <v>1217</v>
      </c>
      <c r="D172" s="618"/>
      <c r="E172" s="618"/>
      <c r="F172" s="1292"/>
      <c r="G172" s="1286"/>
      <c r="H172" s="1286"/>
      <c r="I172" s="1286"/>
      <c r="J172" s="1286"/>
      <c r="K172" s="1286"/>
      <c r="L172" s="1286"/>
      <c r="M172" s="1286"/>
      <c r="N172" s="1286"/>
      <c r="O172" s="1286"/>
      <c r="P172" s="1286"/>
      <c r="Q172" s="618"/>
      <c r="R172" s="1034"/>
      <c r="S172" s="618"/>
      <c r="T172" s="1033"/>
    </row>
    <row r="173" spans="2:20" ht="60" x14ac:dyDescent="0.25">
      <c r="B173" s="1267" t="s">
        <v>1230</v>
      </c>
      <c r="C173" s="1267" t="s">
        <v>1230</v>
      </c>
      <c r="D173" s="618"/>
      <c r="E173" s="618"/>
      <c r="F173" s="1286"/>
      <c r="G173" s="1286"/>
      <c r="H173" s="1292"/>
      <c r="I173" s="1286"/>
      <c r="J173" s="1286"/>
      <c r="K173" s="1286"/>
      <c r="L173" s="1286"/>
      <c r="M173" s="1286"/>
      <c r="N173" s="1286"/>
      <c r="O173" s="1286"/>
      <c r="P173" s="1286"/>
      <c r="Q173" s="618"/>
      <c r="R173" s="1034"/>
      <c r="S173" s="618"/>
      <c r="T173" s="1033"/>
    </row>
    <row r="174" spans="2:20" ht="20" x14ac:dyDescent="0.25">
      <c r="B174" s="1267" t="s">
        <v>1218</v>
      </c>
      <c r="C174" s="1267" t="s">
        <v>1218</v>
      </c>
      <c r="D174" s="618"/>
      <c r="E174" s="618"/>
      <c r="F174" s="1286"/>
      <c r="G174" s="1292"/>
      <c r="H174" s="1286"/>
      <c r="I174" s="1286"/>
      <c r="J174" s="1286"/>
      <c r="K174" s="1286"/>
      <c r="L174" s="1286"/>
      <c r="M174" s="1286"/>
      <c r="N174" s="1286"/>
      <c r="O174" s="1286"/>
      <c r="P174" s="1286"/>
      <c r="Q174" s="618"/>
      <c r="R174" s="1034"/>
      <c r="S174" s="618"/>
      <c r="T174" s="1033"/>
    </row>
    <row r="175" spans="2:20" ht="19" x14ac:dyDescent="0.25">
      <c r="B175" s="1269" t="s">
        <v>1172</v>
      </c>
      <c r="C175" s="1269" t="s">
        <v>1172</v>
      </c>
      <c r="D175" s="618"/>
      <c r="E175" s="618"/>
      <c r="F175" s="1286"/>
      <c r="G175" s="1286"/>
      <c r="H175" s="1286"/>
      <c r="I175" s="1286"/>
      <c r="J175" s="1286"/>
      <c r="K175" s="1286"/>
      <c r="L175" s="1286"/>
      <c r="M175" s="1286"/>
      <c r="N175" s="1286"/>
      <c r="O175" s="1286"/>
      <c r="P175" s="1286"/>
      <c r="Q175" s="1286"/>
      <c r="R175" s="1034">
        <f>R214*'MK IMC Calculations'!E40</f>
        <v>30691.4</v>
      </c>
      <c r="S175" s="618"/>
      <c r="T175" s="1033">
        <f>'MK IMC Calculations'!C40</f>
        <v>0.03</v>
      </c>
    </row>
    <row r="176" spans="2:20" ht="19" x14ac:dyDescent="0.25">
      <c r="B176" s="1269" t="s">
        <v>1208</v>
      </c>
      <c r="C176" s="1269" t="s">
        <v>1208</v>
      </c>
      <c r="D176" s="618"/>
      <c r="E176" s="618"/>
      <c r="F176" s="618"/>
      <c r="G176" s="618"/>
      <c r="H176" s="618"/>
      <c r="I176" s="618"/>
      <c r="J176" s="618"/>
      <c r="K176" s="618"/>
      <c r="L176" s="618"/>
      <c r="M176" s="618"/>
      <c r="N176" s="618"/>
      <c r="O176" s="618"/>
      <c r="P176" s="1286"/>
      <c r="Q176" s="1286"/>
      <c r="R176" s="1034">
        <f>'MK IMC Calculations'!I13</f>
        <v>72000</v>
      </c>
      <c r="S176" s="618"/>
      <c r="T176" s="1033">
        <f>'MK IMC Calculations'!I17</f>
        <v>2.8799999999999999E-2</v>
      </c>
    </row>
    <row r="177" spans="2:20" ht="19" x14ac:dyDescent="0.25">
      <c r="B177" s="1268" t="s">
        <v>1174</v>
      </c>
      <c r="C177" s="1268" t="s">
        <v>1174</v>
      </c>
      <c r="D177" s="618"/>
      <c r="E177" s="618"/>
      <c r="F177" s="618"/>
      <c r="G177" s="618"/>
      <c r="H177" s="618"/>
      <c r="I177" s="618"/>
      <c r="J177" s="1294"/>
      <c r="K177" s="1295"/>
      <c r="L177" s="1295"/>
      <c r="M177" s="1294"/>
      <c r="N177" s="618"/>
      <c r="O177" s="1286"/>
      <c r="P177" s="1295"/>
      <c r="Q177" s="1295"/>
      <c r="R177" s="1034"/>
      <c r="S177" s="618"/>
      <c r="T177" s="1033"/>
    </row>
    <row r="178" spans="2:20" ht="19" x14ac:dyDescent="0.25">
      <c r="B178" s="1268" t="s">
        <v>1175</v>
      </c>
      <c r="C178" s="1268" t="s">
        <v>1175</v>
      </c>
      <c r="D178" s="618"/>
      <c r="E178" s="618"/>
      <c r="F178" s="618"/>
      <c r="G178" s="618"/>
      <c r="H178" s="618"/>
      <c r="I178" s="618"/>
      <c r="J178" s="1294"/>
      <c r="K178" s="1294"/>
      <c r="L178" s="1295"/>
      <c r="M178" s="1294"/>
      <c r="N178" s="618"/>
      <c r="O178" s="1286"/>
      <c r="P178" s="1295"/>
      <c r="Q178" s="1295"/>
      <c r="R178" s="1034"/>
      <c r="S178" s="618"/>
      <c r="T178" s="1033"/>
    </row>
    <row r="179" spans="2:20" ht="19" x14ac:dyDescent="0.25">
      <c r="B179" s="1268" t="s">
        <v>1176</v>
      </c>
      <c r="C179" s="1268" t="s">
        <v>1176</v>
      </c>
      <c r="D179" s="618"/>
      <c r="E179" s="618"/>
      <c r="F179" s="618"/>
      <c r="G179" s="618"/>
      <c r="H179" s="618"/>
      <c r="I179" s="618"/>
      <c r="J179" s="1294"/>
      <c r="K179" s="1294"/>
      <c r="L179" s="1295"/>
      <c r="M179" s="1294"/>
      <c r="N179" s="618"/>
      <c r="O179" s="1286"/>
      <c r="P179" s="1295"/>
      <c r="Q179" s="1295"/>
      <c r="R179" s="1034"/>
      <c r="S179" s="618"/>
      <c r="T179" s="1033"/>
    </row>
    <row r="180" spans="2:20" ht="19" x14ac:dyDescent="0.25">
      <c r="B180" s="1268" t="s">
        <v>1177</v>
      </c>
      <c r="C180" s="1268" t="s">
        <v>1177</v>
      </c>
      <c r="D180" s="618"/>
      <c r="E180" s="618"/>
      <c r="F180" s="618"/>
      <c r="G180" s="618"/>
      <c r="H180" s="1294"/>
      <c r="I180" s="1295"/>
      <c r="J180" s="1295"/>
      <c r="K180" s="618"/>
      <c r="L180" s="618"/>
      <c r="M180" s="1294"/>
      <c r="N180" s="1295"/>
      <c r="O180" s="1294"/>
      <c r="P180" s="618"/>
      <c r="Q180" s="618"/>
      <c r="R180" s="1034"/>
      <c r="S180" s="618"/>
      <c r="T180" s="1033"/>
    </row>
    <row r="181" spans="2:20" ht="19" x14ac:dyDescent="0.25">
      <c r="B181" s="1268" t="s">
        <v>1178</v>
      </c>
      <c r="C181" s="1268" t="s">
        <v>1178</v>
      </c>
      <c r="D181" s="618"/>
      <c r="E181" s="618"/>
      <c r="F181" s="618"/>
      <c r="G181" s="618"/>
      <c r="H181" s="1294"/>
      <c r="I181" s="1295"/>
      <c r="J181" s="1295"/>
      <c r="K181" s="618"/>
      <c r="L181" s="618"/>
      <c r="M181" s="1294"/>
      <c r="N181" s="1295"/>
      <c r="O181" s="1294"/>
      <c r="P181" s="618"/>
      <c r="Q181" s="618"/>
      <c r="R181" s="1034"/>
      <c r="S181" s="618"/>
      <c r="T181" s="1033"/>
    </row>
    <row r="182" spans="2:20" ht="19" x14ac:dyDescent="0.25">
      <c r="B182" s="1268" t="s">
        <v>1179</v>
      </c>
      <c r="C182" s="1268" t="s">
        <v>1179</v>
      </c>
      <c r="D182" s="618"/>
      <c r="E182" s="618"/>
      <c r="F182" s="618"/>
      <c r="G182" s="618"/>
      <c r="H182" s="1294"/>
      <c r="I182" s="1295"/>
      <c r="J182" s="1295"/>
      <c r="K182" s="618"/>
      <c r="L182" s="618"/>
      <c r="M182" s="1294"/>
      <c r="N182" s="1295"/>
      <c r="O182" s="1294"/>
      <c r="P182" s="618"/>
      <c r="Q182" s="618"/>
      <c r="R182" s="1034"/>
      <c r="S182" s="618"/>
      <c r="T182" s="1033"/>
    </row>
    <row r="183" spans="2:20" ht="19" x14ac:dyDescent="0.25">
      <c r="B183" s="1268" t="s">
        <v>1180</v>
      </c>
      <c r="C183" s="1268" t="s">
        <v>1180</v>
      </c>
      <c r="D183" s="618"/>
      <c r="E183" s="618"/>
      <c r="F183" s="618"/>
      <c r="G183" s="618"/>
      <c r="H183" s="1294"/>
      <c r="I183" s="1295"/>
      <c r="J183" s="1295"/>
      <c r="K183" s="618"/>
      <c r="L183" s="618"/>
      <c r="M183" s="1294"/>
      <c r="N183" s="1295"/>
      <c r="O183" s="1294"/>
      <c r="P183" s="618"/>
      <c r="Q183" s="618"/>
      <c r="R183" s="1034"/>
      <c r="S183" s="618"/>
      <c r="T183" s="1033"/>
    </row>
    <row r="184" spans="2:20" ht="19" x14ac:dyDescent="0.25">
      <c r="B184" s="1268" t="s">
        <v>1181</v>
      </c>
      <c r="C184" s="1268" t="s">
        <v>1181</v>
      </c>
      <c r="D184" s="618"/>
      <c r="E184" s="618"/>
      <c r="F184" s="618"/>
      <c r="G184" s="618"/>
      <c r="H184" s="618"/>
      <c r="I184" s="618"/>
      <c r="J184" s="1294"/>
      <c r="K184" s="1294"/>
      <c r="L184" s="1295"/>
      <c r="M184" s="1294"/>
      <c r="N184" s="618"/>
      <c r="O184" s="1286"/>
      <c r="P184" s="1295"/>
      <c r="Q184" s="1295"/>
      <c r="R184" s="1034"/>
      <c r="S184" s="618"/>
      <c r="T184" s="1033"/>
    </row>
    <row r="185" spans="2:20" ht="19" x14ac:dyDescent="0.25">
      <c r="B185" s="1268" t="s">
        <v>1182</v>
      </c>
      <c r="C185" s="1268"/>
      <c r="D185" s="618"/>
      <c r="E185" s="618"/>
      <c r="F185" s="618"/>
      <c r="G185" s="618"/>
      <c r="H185" s="1294"/>
      <c r="I185" s="618"/>
      <c r="J185" s="618"/>
      <c r="K185" s="618"/>
      <c r="L185" s="1286"/>
      <c r="M185" s="618"/>
      <c r="N185" s="618"/>
      <c r="O185" s="1294"/>
      <c r="P185" s="1286"/>
      <c r="Q185" s="1286"/>
      <c r="R185" s="1034"/>
      <c r="S185" s="618"/>
      <c r="T185" s="1033"/>
    </row>
    <row r="186" spans="2:20" ht="19" x14ac:dyDescent="0.25">
      <c r="B186" s="1268" t="s">
        <v>1183</v>
      </c>
      <c r="C186" s="1268"/>
      <c r="D186" s="618"/>
      <c r="E186" s="618"/>
      <c r="F186" s="618"/>
      <c r="G186" s="618"/>
      <c r="H186" s="1294"/>
      <c r="I186" s="618"/>
      <c r="J186" s="618"/>
      <c r="K186" s="618"/>
      <c r="L186" s="1286"/>
      <c r="M186" s="618"/>
      <c r="N186" s="618"/>
      <c r="O186" s="1294"/>
      <c r="P186" s="1286"/>
      <c r="Q186" s="1286"/>
      <c r="R186" s="1034"/>
      <c r="S186" s="618"/>
      <c r="T186" s="1033"/>
    </row>
    <row r="187" spans="2:20" ht="19" x14ac:dyDescent="0.25">
      <c r="B187" s="1269" t="s">
        <v>1231</v>
      </c>
      <c r="C187" s="1269" t="s">
        <v>1231</v>
      </c>
      <c r="D187" s="618"/>
      <c r="E187" s="618"/>
      <c r="F187" s="618"/>
      <c r="G187" s="618"/>
      <c r="H187" s="618"/>
      <c r="I187" s="618"/>
      <c r="J187" s="618"/>
      <c r="K187" s="618"/>
      <c r="L187" s="618"/>
      <c r="M187" s="618"/>
      <c r="N187" s="618"/>
      <c r="O187" s="618"/>
      <c r="P187" s="1286"/>
      <c r="Q187" s="1286"/>
      <c r="R187" s="1034">
        <f>'MK IMC Calculations'!C52</f>
        <v>25960</v>
      </c>
      <c r="S187" s="618"/>
      <c r="T187" s="1033">
        <f>'MK IMC Calculations'!C55</f>
        <v>1.0384000000000001E-2</v>
      </c>
    </row>
    <row r="188" spans="2:20" ht="19" x14ac:dyDescent="0.25">
      <c r="B188" s="1268" t="s">
        <v>1175</v>
      </c>
      <c r="C188" s="1268" t="s">
        <v>1175</v>
      </c>
      <c r="D188" s="618"/>
      <c r="E188" s="618"/>
      <c r="F188" s="618"/>
      <c r="G188" s="618"/>
      <c r="H188" s="1296"/>
      <c r="I188" s="618"/>
      <c r="J188" s="618"/>
      <c r="K188" s="618"/>
      <c r="L188" s="618"/>
      <c r="M188" s="618"/>
      <c r="N188" s="618"/>
      <c r="O188" s="618"/>
      <c r="P188" s="1297"/>
      <c r="Q188" s="1286"/>
      <c r="R188" s="1034"/>
      <c r="S188" s="618"/>
      <c r="T188" s="1033"/>
    </row>
    <row r="189" spans="2:20" ht="19" x14ac:dyDescent="0.25">
      <c r="B189" s="1268" t="s">
        <v>1232</v>
      </c>
      <c r="C189" s="1268" t="s">
        <v>1232</v>
      </c>
      <c r="D189" s="618"/>
      <c r="E189" s="618"/>
      <c r="F189" s="618"/>
      <c r="G189" s="618"/>
      <c r="H189" s="1296"/>
      <c r="I189" s="618"/>
      <c r="J189" s="618"/>
      <c r="K189" s="618"/>
      <c r="L189" s="618"/>
      <c r="M189" s="618"/>
      <c r="N189" s="618"/>
      <c r="O189" s="618"/>
      <c r="P189" s="1297"/>
      <c r="Q189" s="1286"/>
      <c r="R189" s="1034"/>
      <c r="S189" s="618"/>
      <c r="T189" s="1033"/>
    </row>
    <row r="190" spans="2:20" ht="19" x14ac:dyDescent="0.25">
      <c r="B190" s="1268" t="s">
        <v>1174</v>
      </c>
      <c r="C190" s="1268" t="s">
        <v>1174</v>
      </c>
      <c r="D190" s="618"/>
      <c r="E190" s="618"/>
      <c r="F190" s="618"/>
      <c r="G190" s="618"/>
      <c r="H190" s="1296"/>
      <c r="I190" s="618"/>
      <c r="J190" s="618"/>
      <c r="K190" s="618"/>
      <c r="L190" s="618"/>
      <c r="M190" s="618"/>
      <c r="N190" s="618"/>
      <c r="O190" s="618"/>
      <c r="P190" s="1297"/>
      <c r="Q190" s="1286"/>
      <c r="R190" s="1034"/>
      <c r="S190" s="618"/>
      <c r="T190" s="1033"/>
    </row>
    <row r="191" spans="2:20" ht="19" x14ac:dyDescent="0.25">
      <c r="B191" s="1268" t="s">
        <v>1233</v>
      </c>
      <c r="C191" s="1268" t="s">
        <v>1233</v>
      </c>
      <c r="D191" s="618"/>
      <c r="E191" s="618"/>
      <c r="F191" s="618"/>
      <c r="G191" s="618"/>
      <c r="H191" s="1296"/>
      <c r="I191" s="618"/>
      <c r="J191" s="618"/>
      <c r="K191" s="618"/>
      <c r="L191" s="618"/>
      <c r="M191" s="618"/>
      <c r="N191" s="618"/>
      <c r="O191" s="618"/>
      <c r="P191" s="1297"/>
      <c r="Q191" s="1286"/>
      <c r="R191" s="1034"/>
      <c r="S191" s="618"/>
      <c r="T191" s="1033"/>
    </row>
    <row r="192" spans="2:20" ht="19" x14ac:dyDescent="0.25">
      <c r="B192" s="1268" t="s">
        <v>1180</v>
      </c>
      <c r="C192" s="1268" t="s">
        <v>1180</v>
      </c>
      <c r="D192" s="618"/>
      <c r="E192" s="618"/>
      <c r="F192" s="618"/>
      <c r="G192" s="618"/>
      <c r="H192" s="1296"/>
      <c r="I192" s="618"/>
      <c r="J192" s="618"/>
      <c r="K192" s="618"/>
      <c r="L192" s="618"/>
      <c r="M192" s="618"/>
      <c r="N192" s="618"/>
      <c r="O192" s="618"/>
      <c r="P192" s="1297"/>
      <c r="Q192" s="1286"/>
      <c r="R192" s="1034"/>
      <c r="S192" s="618"/>
      <c r="T192" s="1033"/>
    </row>
    <row r="193" spans="2:20" ht="19" x14ac:dyDescent="0.25">
      <c r="B193" s="1268" t="s">
        <v>1181</v>
      </c>
      <c r="C193" s="1268" t="s">
        <v>1181</v>
      </c>
      <c r="D193" s="618"/>
      <c r="E193" s="618"/>
      <c r="F193" s="618"/>
      <c r="G193" s="618"/>
      <c r="H193" s="1296"/>
      <c r="I193" s="618"/>
      <c r="J193" s="618"/>
      <c r="K193" s="618"/>
      <c r="L193" s="618"/>
      <c r="M193" s="618"/>
      <c r="N193" s="618"/>
      <c r="O193" s="618"/>
      <c r="P193" s="1297"/>
      <c r="Q193" s="1286"/>
      <c r="R193" s="1034"/>
      <c r="S193" s="618"/>
      <c r="T193" s="1033"/>
    </row>
    <row r="194" spans="2:20" ht="19" x14ac:dyDescent="0.25">
      <c r="B194" s="1268" t="s">
        <v>1176</v>
      </c>
      <c r="C194" s="1268" t="s">
        <v>1176</v>
      </c>
      <c r="D194" s="618"/>
      <c r="E194" s="618"/>
      <c r="F194" s="618"/>
      <c r="G194" s="618"/>
      <c r="H194" s="1296"/>
      <c r="I194" s="618"/>
      <c r="J194" s="618"/>
      <c r="K194" s="618"/>
      <c r="L194" s="618"/>
      <c r="M194" s="618"/>
      <c r="N194" s="618"/>
      <c r="O194" s="618"/>
      <c r="P194" s="1297"/>
      <c r="Q194" s="1286"/>
      <c r="R194" s="1034"/>
      <c r="S194" s="618"/>
      <c r="T194" s="1033"/>
    </row>
    <row r="195" spans="2:20" ht="19" x14ac:dyDescent="0.25">
      <c r="B195" s="1268" t="s">
        <v>1179</v>
      </c>
      <c r="C195" s="1268" t="s">
        <v>1179</v>
      </c>
      <c r="D195" s="618"/>
      <c r="E195" s="618"/>
      <c r="F195" s="618"/>
      <c r="G195" s="618"/>
      <c r="H195" s="1296"/>
      <c r="I195" s="618"/>
      <c r="J195" s="618"/>
      <c r="K195" s="618"/>
      <c r="L195" s="618"/>
      <c r="M195" s="618"/>
      <c r="N195" s="618"/>
      <c r="O195" s="618"/>
      <c r="P195" s="1297"/>
      <c r="Q195" s="1286"/>
      <c r="R195" s="1034"/>
      <c r="S195" s="618"/>
      <c r="T195" s="1033"/>
    </row>
    <row r="196" spans="2:20" ht="19" x14ac:dyDescent="0.25">
      <c r="B196" s="1268" t="s">
        <v>1181</v>
      </c>
      <c r="C196" s="1268" t="s">
        <v>1181</v>
      </c>
      <c r="D196" s="618"/>
      <c r="E196" s="618"/>
      <c r="F196" s="618"/>
      <c r="G196" s="618"/>
      <c r="H196" s="1296"/>
      <c r="I196" s="618"/>
      <c r="J196" s="618"/>
      <c r="K196" s="618"/>
      <c r="L196" s="618"/>
      <c r="M196" s="618"/>
      <c r="N196" s="618"/>
      <c r="O196" s="618"/>
      <c r="P196" s="1297"/>
      <c r="Q196" s="1286"/>
      <c r="R196" s="1034"/>
      <c r="S196" s="618"/>
      <c r="T196" s="1033"/>
    </row>
    <row r="197" spans="2:20" ht="19" x14ac:dyDescent="0.25">
      <c r="B197" s="1268" t="s">
        <v>1182</v>
      </c>
      <c r="C197" s="1268" t="s">
        <v>1182</v>
      </c>
      <c r="D197" s="618"/>
      <c r="E197" s="618"/>
      <c r="F197" s="618"/>
      <c r="G197" s="618"/>
      <c r="H197" s="1296"/>
      <c r="I197" s="618"/>
      <c r="J197" s="618"/>
      <c r="K197" s="618"/>
      <c r="L197" s="618"/>
      <c r="M197" s="618"/>
      <c r="N197" s="618"/>
      <c r="O197" s="618"/>
      <c r="P197" s="1297"/>
      <c r="Q197" s="1286"/>
      <c r="R197" s="1034"/>
      <c r="S197" s="618"/>
      <c r="T197" s="1033"/>
    </row>
    <row r="198" spans="2:20" ht="19" x14ac:dyDescent="0.25">
      <c r="B198" s="1269" t="s">
        <v>1184</v>
      </c>
      <c r="C198" s="1269" t="s">
        <v>1184</v>
      </c>
      <c r="D198" s="618"/>
      <c r="E198" s="618"/>
      <c r="F198" s="1286" t="s">
        <v>38</v>
      </c>
      <c r="G198" s="1286"/>
      <c r="H198" s="1286"/>
      <c r="I198" s="1286"/>
      <c r="J198" s="1286"/>
      <c r="K198" s="1286"/>
      <c r="L198" s="1286"/>
      <c r="M198" s="1286"/>
      <c r="N198" s="618"/>
      <c r="O198" s="618"/>
      <c r="P198" s="1286"/>
      <c r="Q198" s="1286"/>
      <c r="R198" s="1034">
        <f>'MK IMC Calculations'!G68</f>
        <v>35000</v>
      </c>
      <c r="S198" s="618"/>
      <c r="T198" s="1033">
        <f>'MK IMC Calculations'!G73</f>
        <v>1.4E-2</v>
      </c>
    </row>
    <row r="199" spans="2:20" ht="19" x14ac:dyDescent="0.25">
      <c r="B199" s="1268" t="s">
        <v>1176</v>
      </c>
      <c r="C199" s="1268" t="s">
        <v>1176</v>
      </c>
      <c r="D199" s="618"/>
      <c r="E199" s="618"/>
      <c r="F199" s="1286"/>
      <c r="G199" s="1286"/>
      <c r="H199" s="1286"/>
      <c r="I199" s="1286"/>
      <c r="J199" s="1286"/>
      <c r="K199" s="1294"/>
      <c r="L199" s="1294"/>
      <c r="M199" s="1286"/>
      <c r="N199" s="618"/>
      <c r="O199" s="618"/>
      <c r="P199" s="1286"/>
      <c r="Q199" s="1286"/>
      <c r="R199" s="1034"/>
      <c r="S199" s="618"/>
      <c r="T199" s="1033"/>
    </row>
    <row r="200" spans="2:20" ht="19" x14ac:dyDescent="0.25">
      <c r="B200" s="1268" t="s">
        <v>1179</v>
      </c>
      <c r="C200" s="1268" t="s">
        <v>1179</v>
      </c>
      <c r="D200" s="618"/>
      <c r="E200" s="618"/>
      <c r="F200" s="618"/>
      <c r="G200" s="618"/>
      <c r="H200" s="618"/>
      <c r="I200" s="618"/>
      <c r="J200" s="618"/>
      <c r="K200" s="1294"/>
      <c r="L200" s="1294"/>
      <c r="M200" s="618"/>
      <c r="N200" s="618"/>
      <c r="O200" s="618"/>
      <c r="P200" s="618"/>
      <c r="Q200" s="618"/>
      <c r="R200" s="1034"/>
      <c r="S200" s="618"/>
      <c r="T200" s="1033"/>
    </row>
    <row r="201" spans="2:20" ht="19" x14ac:dyDescent="0.25">
      <c r="B201" s="1268" t="s">
        <v>1181</v>
      </c>
      <c r="C201" s="1268" t="s">
        <v>1181</v>
      </c>
      <c r="D201" s="618"/>
      <c r="E201" s="618"/>
      <c r="F201" s="618"/>
      <c r="G201" s="618"/>
      <c r="H201" s="618"/>
      <c r="I201" s="618"/>
      <c r="J201" s="618"/>
      <c r="K201" s="1296"/>
      <c r="L201" s="1296"/>
      <c r="M201" s="618"/>
      <c r="N201" s="618"/>
      <c r="O201" s="618"/>
      <c r="P201" s="618"/>
      <c r="Q201" s="618"/>
      <c r="R201" s="1034"/>
      <c r="S201" s="618"/>
      <c r="T201" s="1033"/>
    </row>
    <row r="202" spans="2:20" ht="19" x14ac:dyDescent="0.25">
      <c r="B202" s="1268" t="s">
        <v>1180</v>
      </c>
      <c r="C202" s="1268" t="s">
        <v>1180</v>
      </c>
      <c r="D202" s="618"/>
      <c r="E202" s="618"/>
      <c r="F202" s="618"/>
      <c r="G202" s="618"/>
      <c r="H202" s="618"/>
      <c r="I202" s="618"/>
      <c r="J202" s="618"/>
      <c r="K202" s="1296"/>
      <c r="L202" s="1296"/>
      <c r="M202" s="618"/>
      <c r="N202" s="618"/>
      <c r="O202" s="618"/>
      <c r="P202" s="618"/>
      <c r="Q202" s="618"/>
      <c r="R202" s="1034"/>
      <c r="S202" s="618"/>
      <c r="T202" s="1033"/>
    </row>
    <row r="203" spans="2:20" ht="19" x14ac:dyDescent="0.25">
      <c r="B203" s="1268" t="s">
        <v>1182</v>
      </c>
      <c r="C203" s="1268" t="s">
        <v>1182</v>
      </c>
      <c r="D203" s="618"/>
      <c r="E203" s="618"/>
      <c r="F203" s="618"/>
      <c r="G203" s="618"/>
      <c r="H203" s="618"/>
      <c r="I203" s="618"/>
      <c r="J203" s="618"/>
      <c r="K203" s="1296"/>
      <c r="L203" s="1297"/>
      <c r="M203" s="618"/>
      <c r="N203" s="618"/>
      <c r="O203" s="618"/>
      <c r="P203" s="618"/>
      <c r="Q203" s="618"/>
      <c r="R203" s="1034"/>
      <c r="S203" s="618"/>
      <c r="T203" s="1033"/>
    </row>
    <row r="204" spans="2:20" ht="19" x14ac:dyDescent="0.25">
      <c r="B204" s="645" t="s">
        <v>1234</v>
      </c>
      <c r="C204" s="645" t="s">
        <v>1234</v>
      </c>
      <c r="D204" s="618"/>
      <c r="E204" s="618"/>
      <c r="F204" s="618"/>
      <c r="G204" s="618"/>
      <c r="H204" s="618"/>
      <c r="I204" s="618"/>
      <c r="J204" s="618"/>
      <c r="K204" s="618"/>
      <c r="L204" s="618"/>
      <c r="M204" s="618"/>
      <c r="N204" s="618"/>
      <c r="O204" s="618"/>
      <c r="P204" s="618"/>
      <c r="Q204" s="618"/>
      <c r="R204" s="1034"/>
      <c r="S204" s="618"/>
      <c r="T204" s="1033">
        <f>T198+T187</f>
        <v>2.4384000000000003E-2</v>
      </c>
    </row>
    <row r="205" spans="2:20" ht="19" x14ac:dyDescent="0.25">
      <c r="B205" s="1269" t="s">
        <v>1219</v>
      </c>
      <c r="C205" s="1269" t="s">
        <v>1219</v>
      </c>
      <c r="D205" s="618"/>
      <c r="E205" s="618"/>
      <c r="F205" s="618"/>
      <c r="G205" s="618"/>
      <c r="H205" s="618"/>
      <c r="I205" s="618"/>
      <c r="J205" s="618"/>
      <c r="K205" s="618"/>
      <c r="L205" s="618"/>
      <c r="M205" s="618"/>
      <c r="N205" s="618"/>
      <c r="O205" s="618"/>
      <c r="P205" s="618"/>
      <c r="Q205" s="618"/>
      <c r="R205" s="1034">
        <f>'MK IMC Calculations'!C83</f>
        <v>40000</v>
      </c>
      <c r="S205" s="618"/>
      <c r="T205" s="1033">
        <f>'MK IMC Calculations'!E84</f>
        <v>0.04</v>
      </c>
    </row>
    <row r="206" spans="2:20" ht="19" x14ac:dyDescent="0.25">
      <c r="B206" s="1270" t="s">
        <v>1220</v>
      </c>
      <c r="C206" s="1270" t="s">
        <v>1220</v>
      </c>
      <c r="D206" s="618"/>
      <c r="E206" s="618"/>
      <c r="F206" s="1298"/>
      <c r="G206" s="1298"/>
      <c r="H206" s="1298"/>
      <c r="I206" s="1298"/>
      <c r="J206" s="1298"/>
      <c r="K206" s="1286"/>
      <c r="L206" s="618"/>
      <c r="M206" s="1286"/>
      <c r="N206" s="618"/>
      <c r="O206" s="1286"/>
      <c r="P206" s="1286"/>
      <c r="Q206" s="1286"/>
      <c r="R206" s="1034"/>
      <c r="S206" s="618"/>
      <c r="T206" s="1033"/>
    </row>
    <row r="207" spans="2:20" ht="19" x14ac:dyDescent="0.25">
      <c r="B207" s="1270" t="s">
        <v>1221</v>
      </c>
      <c r="C207" s="1270" t="s">
        <v>1221</v>
      </c>
      <c r="D207" s="618"/>
      <c r="E207" s="618"/>
      <c r="F207" s="618"/>
      <c r="G207" s="618"/>
      <c r="H207" s="618"/>
      <c r="I207" s="618"/>
      <c r="J207" s="618"/>
      <c r="K207" s="1286"/>
      <c r="L207" s="1286"/>
      <c r="M207" s="1299"/>
      <c r="N207" s="1298"/>
      <c r="O207" s="1298"/>
      <c r="P207" s="1299"/>
      <c r="Q207" s="1292"/>
      <c r="R207" s="1034"/>
      <c r="S207" s="618"/>
      <c r="T207" s="1033"/>
    </row>
    <row r="208" spans="2:20" ht="19" x14ac:dyDescent="0.25">
      <c r="B208" s="1271" t="s">
        <v>1188</v>
      </c>
      <c r="C208" s="1271" t="s">
        <v>1188</v>
      </c>
      <c r="D208" s="618"/>
      <c r="E208" s="618"/>
      <c r="F208" s="1286"/>
      <c r="G208" s="1286"/>
      <c r="H208" s="1286"/>
      <c r="I208" s="1286"/>
      <c r="J208" s="1286"/>
      <c r="K208" s="1286"/>
      <c r="L208" s="1286"/>
      <c r="M208" s="1286"/>
      <c r="N208" s="1286"/>
      <c r="O208" s="1286"/>
      <c r="P208" s="1286"/>
      <c r="Q208" s="1286"/>
      <c r="R208" s="1034"/>
      <c r="S208" s="618"/>
      <c r="T208" s="1033"/>
    </row>
    <row r="209" spans="2:20" ht="19" x14ac:dyDescent="0.25">
      <c r="B209" s="1272" t="s">
        <v>1189</v>
      </c>
      <c r="C209" s="1272" t="s">
        <v>1189</v>
      </c>
      <c r="D209" s="618"/>
      <c r="E209" s="618"/>
      <c r="F209" s="1286"/>
      <c r="G209" s="1286"/>
      <c r="H209" s="1286"/>
      <c r="I209" s="1286"/>
      <c r="J209" s="1286"/>
      <c r="K209" s="1286"/>
      <c r="L209" s="1286"/>
      <c r="M209" s="1286"/>
      <c r="N209" s="1286"/>
      <c r="O209" s="1286"/>
      <c r="P209" s="1286"/>
      <c r="Q209" s="1286"/>
      <c r="R209" s="1034"/>
      <c r="S209" s="618"/>
      <c r="T209" s="1033">
        <f>'MK IMC Calculations'!E165*0.5*3/'MK Bases Model (Base Case)'!F7</f>
        <v>1.8455406655430162E-2</v>
      </c>
    </row>
    <row r="210" spans="2:20" ht="19" x14ac:dyDescent="0.25">
      <c r="B210" s="1269" t="s">
        <v>1235</v>
      </c>
      <c r="C210" s="1269" t="s">
        <v>1235</v>
      </c>
      <c r="D210" s="618"/>
      <c r="E210" s="618"/>
      <c r="F210" s="1300"/>
      <c r="G210" s="1301"/>
      <c r="H210" s="1301"/>
      <c r="I210" s="1301"/>
      <c r="J210" s="1301"/>
      <c r="K210" s="1301"/>
      <c r="L210" s="1301"/>
      <c r="M210" s="1301"/>
      <c r="N210" s="1301"/>
      <c r="O210" s="1301"/>
      <c r="P210" s="1301"/>
      <c r="Q210" s="1300"/>
      <c r="R210" s="1034">
        <f>'MK IMC Calculations'!E179</f>
        <v>10000</v>
      </c>
      <c r="S210" s="618"/>
      <c r="T210" s="1033">
        <f>'MK IMC Calculations'!D179</f>
        <v>0.01</v>
      </c>
    </row>
    <row r="211" spans="2:20" ht="19" x14ac:dyDescent="0.25">
      <c r="B211" s="1269" t="s">
        <v>1209</v>
      </c>
      <c r="C211" s="1269" t="s">
        <v>1209</v>
      </c>
      <c r="D211" s="618"/>
      <c r="E211" s="618"/>
      <c r="F211" s="618"/>
      <c r="G211" s="1286"/>
      <c r="H211" s="1286"/>
      <c r="I211" s="1286"/>
      <c r="J211" s="1286"/>
      <c r="K211" s="1286"/>
      <c r="L211" s="1286"/>
      <c r="M211" s="1286"/>
      <c r="N211" s="1286"/>
      <c r="O211" s="1286"/>
      <c r="P211" s="1286"/>
      <c r="Q211" s="618"/>
      <c r="R211" s="1034"/>
      <c r="S211" s="618"/>
      <c r="T211" s="1033">
        <v>0.02</v>
      </c>
    </row>
    <row r="212" spans="2:20" ht="19" x14ac:dyDescent="0.25">
      <c r="B212" s="1271" t="s">
        <v>1191</v>
      </c>
      <c r="C212" s="1271" t="s">
        <v>1191</v>
      </c>
      <c r="D212" s="618"/>
      <c r="E212" s="618"/>
      <c r="F212" s="1286"/>
      <c r="G212" s="1286"/>
      <c r="H212" s="1286"/>
      <c r="I212" s="1286"/>
      <c r="J212" s="1286"/>
      <c r="K212" s="1286"/>
      <c r="L212" s="1286"/>
      <c r="M212" s="1286"/>
      <c r="N212" s="1286"/>
      <c r="O212" s="1286"/>
      <c r="P212" s="1286"/>
      <c r="Q212" s="1286"/>
      <c r="R212" s="1034"/>
      <c r="S212" s="618"/>
      <c r="T212" s="1033"/>
    </row>
    <row r="213" spans="2:20" ht="19" x14ac:dyDescent="0.25">
      <c r="B213" s="1269" t="s">
        <v>1192</v>
      </c>
      <c r="C213" s="1269" t="s">
        <v>1192</v>
      </c>
      <c r="D213" s="618"/>
      <c r="E213" s="618"/>
      <c r="F213" s="1302"/>
      <c r="G213" s="1302"/>
      <c r="H213" s="1302"/>
      <c r="I213" s="1302"/>
      <c r="J213" s="1302"/>
      <c r="K213" s="1302"/>
      <c r="L213" s="1302"/>
      <c r="M213" s="1302"/>
      <c r="N213" s="1302"/>
      <c r="O213" s="1302"/>
      <c r="P213" s="1302"/>
      <c r="Q213" s="1302"/>
      <c r="R213" s="1034">
        <f>'MK IMC Calculations'!E188</f>
        <v>1500</v>
      </c>
      <c r="S213" s="618"/>
      <c r="T213" s="1033"/>
    </row>
    <row r="214" spans="2:20" ht="19" x14ac:dyDescent="0.25">
      <c r="B214" s="1273" t="s">
        <v>1236</v>
      </c>
      <c r="C214" s="1273" t="s">
        <v>1236</v>
      </c>
      <c r="D214" s="618"/>
      <c r="E214" s="618"/>
      <c r="F214" s="618"/>
      <c r="G214" s="618"/>
      <c r="H214" s="618"/>
      <c r="I214" s="618"/>
      <c r="J214" s="618"/>
      <c r="K214" s="618"/>
      <c r="L214" s="618"/>
      <c r="M214" s="618"/>
      <c r="N214" s="618"/>
      <c r="O214" s="618"/>
      <c r="P214" s="618"/>
      <c r="Q214" s="618"/>
      <c r="R214" s="1034">
        <f>SUM(R165:R166,R176,R187,R198,R205,R210,R213)</f>
        <v>306914</v>
      </c>
      <c r="S214" s="618"/>
      <c r="T214" s="1033"/>
    </row>
    <row r="215" spans="2:20" ht="20" thickBot="1" x14ac:dyDescent="0.3">
      <c r="B215" s="1274" t="s">
        <v>1194</v>
      </c>
      <c r="C215" s="1274" t="s">
        <v>1194</v>
      </c>
      <c r="D215" s="618"/>
      <c r="E215" s="618"/>
      <c r="F215" s="1303"/>
      <c r="G215" s="1303"/>
      <c r="H215" s="1303"/>
      <c r="I215" s="1303"/>
      <c r="J215" s="1303"/>
      <c r="K215" s="1303"/>
      <c r="L215" s="1303"/>
      <c r="M215" s="1303"/>
      <c r="N215" s="1303"/>
      <c r="O215" s="1303"/>
      <c r="P215" s="1303"/>
      <c r="Q215" s="1303"/>
      <c r="R215" s="1304">
        <f>R214+R175</f>
        <v>337605.4</v>
      </c>
      <c r="S215" s="1305"/>
      <c r="T215" s="1306">
        <f>SUM(T165:T176,T204:T211)</f>
        <v>0.28163940665543019</v>
      </c>
    </row>
    <row r="216" spans="2:20" ht="19" x14ac:dyDescent="0.25">
      <c r="B216" s="1275" t="s">
        <v>1195</v>
      </c>
      <c r="C216" s="1275" t="s">
        <v>1195</v>
      </c>
      <c r="D216" s="618"/>
      <c r="E216" s="618"/>
      <c r="F216" s="1286"/>
      <c r="G216" s="1286"/>
      <c r="H216" s="1286"/>
      <c r="I216" s="1286"/>
      <c r="J216" s="1286"/>
      <c r="K216" s="1286"/>
      <c r="L216" s="1286"/>
      <c r="M216" s="1286"/>
      <c r="N216" s="1286"/>
      <c r="O216" s="1286"/>
      <c r="P216" s="1286"/>
      <c r="Q216" s="618"/>
      <c r="R216" s="1034"/>
      <c r="S216" s="618"/>
      <c r="T216" s="1033"/>
    </row>
    <row r="217" spans="2:20" ht="19" x14ac:dyDescent="0.25">
      <c r="B217" s="1269" t="s">
        <v>1196</v>
      </c>
      <c r="C217" s="1269" t="s">
        <v>1196</v>
      </c>
      <c r="D217" s="618"/>
      <c r="E217" s="618"/>
      <c r="F217" s="1286"/>
      <c r="G217" s="1286"/>
      <c r="H217" s="1286"/>
      <c r="I217" s="1286"/>
      <c r="J217" s="1286"/>
      <c r="K217" s="1286"/>
      <c r="L217" s="1286"/>
      <c r="M217" s="1286"/>
      <c r="N217" s="1286"/>
      <c r="O217" s="1286"/>
      <c r="P217" s="1286"/>
      <c r="Q217" s="1286"/>
      <c r="R217" s="1034">
        <f>'MK IMC Calculations'!D202</f>
        <v>17000</v>
      </c>
      <c r="S217" s="618"/>
      <c r="T217" s="1033"/>
    </row>
    <row r="218" spans="2:20" ht="19" x14ac:dyDescent="0.25">
      <c r="B218" s="1276" t="s">
        <v>1197</v>
      </c>
      <c r="C218" s="1276" t="s">
        <v>1197</v>
      </c>
      <c r="D218" s="618"/>
      <c r="E218" s="618"/>
      <c r="F218" s="1286"/>
      <c r="G218" s="1286"/>
      <c r="H218" s="1286"/>
      <c r="I218" s="1286"/>
      <c r="J218" s="1286"/>
      <c r="K218" s="1286"/>
      <c r="L218" s="1286"/>
      <c r="M218" s="1286"/>
      <c r="N218" s="1286"/>
      <c r="O218" s="1286"/>
      <c r="P218" s="1307"/>
      <c r="Q218" s="1286"/>
      <c r="R218" s="1034"/>
      <c r="S218" s="618"/>
      <c r="T218" s="1033"/>
    </row>
    <row r="219" spans="2:20" ht="19" x14ac:dyDescent="0.25">
      <c r="B219" s="1268" t="s">
        <v>1198</v>
      </c>
      <c r="C219" s="1268" t="s">
        <v>1198</v>
      </c>
      <c r="D219" s="618"/>
      <c r="E219" s="618"/>
      <c r="F219" s="1286"/>
      <c r="G219" s="1307"/>
      <c r="H219" s="1286"/>
      <c r="I219" s="1286"/>
      <c r="J219" s="1286"/>
      <c r="K219" s="1286"/>
      <c r="L219" s="1286"/>
      <c r="M219" s="1286"/>
      <c r="N219" s="1286"/>
      <c r="O219" s="1286"/>
      <c r="P219" s="1286"/>
      <c r="Q219" s="1286"/>
      <c r="R219" s="1034"/>
      <c r="S219" s="618"/>
      <c r="T219" s="1033"/>
    </row>
    <row r="220" spans="2:20" ht="19" x14ac:dyDescent="0.25">
      <c r="B220" s="1277" t="s">
        <v>1199</v>
      </c>
      <c r="C220" s="1269" t="s">
        <v>1199</v>
      </c>
      <c r="D220" s="618"/>
      <c r="E220" s="618"/>
      <c r="F220" s="1286"/>
      <c r="G220" s="1286"/>
      <c r="H220" s="1286"/>
      <c r="I220" s="1286"/>
      <c r="J220" s="1286"/>
      <c r="K220" s="1286"/>
      <c r="L220" s="1286"/>
      <c r="M220" s="1286"/>
      <c r="N220" s="1286"/>
      <c r="O220" s="1286"/>
      <c r="P220" s="1286"/>
      <c r="Q220" s="1286"/>
      <c r="R220" s="1034"/>
      <c r="S220" s="618"/>
      <c r="T220" s="1033"/>
    </row>
    <row r="221" spans="2:20" ht="19" x14ac:dyDescent="0.25">
      <c r="B221" s="1278" t="s">
        <v>1211</v>
      </c>
      <c r="C221" s="1278" t="s">
        <v>1211</v>
      </c>
      <c r="D221" s="618"/>
      <c r="E221" s="618"/>
      <c r="F221" s="1286"/>
      <c r="G221" s="1286"/>
      <c r="H221" s="1286"/>
      <c r="I221" s="1286"/>
      <c r="J221" s="1286"/>
      <c r="K221" s="1307"/>
      <c r="L221" s="1286"/>
      <c r="M221" s="1286"/>
      <c r="N221" s="1286"/>
      <c r="O221" s="1307"/>
      <c r="P221" s="1286"/>
      <c r="Q221" s="1286"/>
      <c r="R221" s="1034">
        <f>'MK IMC Calculations'!D207</f>
        <v>7800</v>
      </c>
      <c r="S221" s="618"/>
      <c r="T221" s="1033"/>
    </row>
    <row r="222" spans="2:20" ht="20" thickBot="1" x14ac:dyDescent="0.3">
      <c r="B222" s="1274" t="s">
        <v>1201</v>
      </c>
      <c r="C222" s="1274" t="s">
        <v>1201</v>
      </c>
      <c r="D222" s="618"/>
      <c r="E222" s="618"/>
      <c r="F222" s="1303"/>
      <c r="G222" s="1303"/>
      <c r="H222" s="1303"/>
      <c r="I222" s="1303"/>
      <c r="J222" s="1303"/>
      <c r="K222" s="1303"/>
      <c r="L222" s="1303"/>
      <c r="M222" s="1303"/>
      <c r="N222" s="1303"/>
      <c r="O222" s="1303"/>
      <c r="P222" s="1303"/>
      <c r="Q222" s="1303"/>
      <c r="R222" s="1304">
        <f>R217+R221</f>
        <v>24800</v>
      </c>
      <c r="S222" s="1305"/>
      <c r="T222" s="1306">
        <f>SUM(T217,T221)</f>
        <v>0</v>
      </c>
    </row>
    <row r="223" spans="2:20" ht="19" x14ac:dyDescent="0.25">
      <c r="B223" s="1279" t="s">
        <v>1202</v>
      </c>
      <c r="C223" s="1279" t="s">
        <v>1202</v>
      </c>
      <c r="D223" s="618"/>
      <c r="E223" s="618"/>
      <c r="F223" s="1286"/>
      <c r="G223" s="1286"/>
      <c r="H223" s="1286"/>
      <c r="I223" s="1286"/>
      <c r="J223" s="1286"/>
      <c r="K223" s="1286"/>
      <c r="L223" s="1286"/>
      <c r="M223" s="1286"/>
      <c r="N223" s="1286"/>
      <c r="O223" s="1286"/>
      <c r="P223" s="1286"/>
      <c r="Q223" s="1286"/>
      <c r="R223" s="1308">
        <f>R222+R215</f>
        <v>362405.4</v>
      </c>
      <c r="S223" s="618"/>
      <c r="T223" s="1309">
        <f>T215+T222</f>
        <v>0.28163940665543019</v>
      </c>
    </row>
    <row r="224" spans="2:20" ht="19" x14ac:dyDescent="0.25">
      <c r="B224" s="618"/>
      <c r="C224" s="618"/>
      <c r="D224" s="618"/>
      <c r="E224" s="618"/>
      <c r="F224" s="618"/>
      <c r="G224" s="618"/>
      <c r="H224" s="618"/>
      <c r="I224" s="618"/>
      <c r="J224" s="618"/>
      <c r="K224" s="618"/>
      <c r="L224" s="618"/>
      <c r="M224" s="618"/>
      <c r="N224" s="618"/>
      <c r="O224" s="618"/>
      <c r="P224" s="618"/>
      <c r="Q224" s="618"/>
      <c r="R224" s="1034"/>
      <c r="S224" s="618"/>
      <c r="T224" s="1033"/>
    </row>
    <row r="225" spans="2:20" ht="19" x14ac:dyDescent="0.25">
      <c r="B225" s="618"/>
      <c r="C225" s="618"/>
      <c r="D225" s="618"/>
      <c r="E225" s="618"/>
      <c r="F225" s="618"/>
      <c r="G225" s="618"/>
      <c r="H225" s="618"/>
      <c r="I225" s="618"/>
      <c r="J225" s="618"/>
      <c r="K225" s="618"/>
      <c r="L225" s="618"/>
      <c r="M225" s="618"/>
      <c r="N225" s="618"/>
      <c r="O225" s="618"/>
      <c r="P225" s="618"/>
      <c r="Q225" s="618"/>
      <c r="R225" s="1034"/>
      <c r="S225" s="618"/>
      <c r="T225" s="1033"/>
    </row>
    <row r="226" spans="2:20" ht="60" x14ac:dyDescent="0.25">
      <c r="B226" s="618"/>
      <c r="C226" s="618"/>
      <c r="D226" s="618"/>
      <c r="E226" s="618"/>
      <c r="F226" s="618"/>
      <c r="G226" s="618"/>
      <c r="H226" s="618"/>
      <c r="I226" s="618"/>
      <c r="J226" s="618"/>
      <c r="K226" s="618"/>
      <c r="L226" s="618"/>
      <c r="M226" s="618"/>
      <c r="N226" s="618"/>
      <c r="O226" s="618"/>
      <c r="P226" s="618"/>
      <c r="Q226" s="1310" t="s">
        <v>1237</v>
      </c>
      <c r="R226" s="1034">
        <f>'FE Income Statement'!H5</f>
        <v>5500174.8105354076</v>
      </c>
      <c r="S226" s="618"/>
      <c r="T226" s="1033"/>
    </row>
    <row r="227" spans="2:20" ht="60" x14ac:dyDescent="0.25">
      <c r="B227" s="618"/>
      <c r="C227" s="618"/>
      <c r="D227" s="618"/>
      <c r="E227" s="618"/>
      <c r="F227" s="618"/>
      <c r="G227" s="618"/>
      <c r="H227" s="618"/>
      <c r="I227" s="618"/>
      <c r="J227" s="618"/>
      <c r="K227" s="618"/>
      <c r="L227" s="618"/>
      <c r="M227" s="618"/>
      <c r="N227" s="618"/>
      <c r="O227" s="618"/>
      <c r="P227" s="618"/>
      <c r="Q227" s="1311" t="s">
        <v>1204</v>
      </c>
      <c r="R227" s="1312">
        <f>R223/R226</f>
        <v>6.5889796685338828E-2</v>
      </c>
      <c r="S227" s="618"/>
      <c r="T227" s="1033"/>
    </row>
    <row r="230" spans="2:20" ht="20" x14ac:dyDescent="0.25">
      <c r="B230" s="1032"/>
      <c r="C230" s="963" t="s">
        <v>1238</v>
      </c>
    </row>
    <row r="231" spans="2:20" ht="32" x14ac:dyDescent="0.2">
      <c r="B231" s="188" t="s">
        <v>1239</v>
      </c>
      <c r="C231" s="31" t="s">
        <v>1239</v>
      </c>
      <c r="D231" s="31"/>
      <c r="E231" s="31"/>
      <c r="F231" s="188" t="s">
        <v>1150</v>
      </c>
      <c r="G231" s="188" t="s">
        <v>1151</v>
      </c>
      <c r="H231" s="188" t="s">
        <v>1152</v>
      </c>
      <c r="I231" s="188" t="s">
        <v>1153</v>
      </c>
      <c r="J231" s="188" t="s">
        <v>1154</v>
      </c>
      <c r="K231" s="188" t="s">
        <v>1155</v>
      </c>
      <c r="L231" s="188" t="s">
        <v>1156</v>
      </c>
      <c r="M231" s="188" t="s">
        <v>1157</v>
      </c>
      <c r="N231" s="188" t="s">
        <v>1158</v>
      </c>
      <c r="O231" s="188" t="s">
        <v>1159</v>
      </c>
      <c r="P231" s="188" t="s">
        <v>1160</v>
      </c>
      <c r="Q231" s="188" t="s">
        <v>1161</v>
      </c>
      <c r="R231" s="790" t="s">
        <v>1162</v>
      </c>
      <c r="S231" s="188" t="s">
        <v>1163</v>
      </c>
      <c r="T231" s="791" t="s">
        <v>1164</v>
      </c>
    </row>
    <row r="232" spans="2:20" x14ac:dyDescent="0.2">
      <c r="B232" s="61" t="s">
        <v>1165</v>
      </c>
      <c r="C232" s="98" t="s">
        <v>1165</v>
      </c>
    </row>
    <row r="233" spans="2:20" x14ac:dyDescent="0.2">
      <c r="B233" s="63" t="s">
        <v>1166</v>
      </c>
      <c r="C233" s="986" t="s">
        <v>1166</v>
      </c>
    </row>
    <row r="234" spans="2:20" x14ac:dyDescent="0.2">
      <c r="B234" s="5" t="s">
        <v>1240</v>
      </c>
      <c r="C234" s="5" t="s">
        <v>1240</v>
      </c>
      <c r="H234" s="3"/>
      <c r="I234" s="3"/>
      <c r="J234" s="3"/>
      <c r="K234" s="3"/>
      <c r="L234" s="3"/>
      <c r="M234" s="3"/>
      <c r="N234" s="3"/>
      <c r="O234" s="3"/>
    </row>
    <row r="235" spans="2:20" ht="32" x14ac:dyDescent="0.2">
      <c r="B235" s="151" t="s">
        <v>1216</v>
      </c>
      <c r="C235" s="151" t="s">
        <v>1216</v>
      </c>
      <c r="F235" s="152"/>
      <c r="G235" s="152"/>
      <c r="P235" s="153"/>
      <c r="Q235" s="153"/>
      <c r="R235" s="86">
        <f>'MK IMC Calculations'!Q23</f>
        <v>80000</v>
      </c>
      <c r="S235" s="95">
        <f>'MK IMC Calculations'!S25</f>
        <v>105.43721345500435</v>
      </c>
      <c r="T235" s="64">
        <f>'MK IMC Calculations'!O32</f>
        <v>0.08</v>
      </c>
    </row>
    <row r="236" spans="2:20" x14ac:dyDescent="0.2">
      <c r="B236" s="5" t="s">
        <v>1206</v>
      </c>
      <c r="C236" s="5" t="s">
        <v>1206</v>
      </c>
      <c r="F236" s="3"/>
      <c r="G236" s="3"/>
      <c r="H236" s="3"/>
      <c r="I236" s="3"/>
      <c r="J236" s="3"/>
      <c r="K236" s="3"/>
      <c r="L236" s="3"/>
      <c r="M236" s="3"/>
      <c r="N236" s="3"/>
      <c r="O236" s="3"/>
      <c r="P236" s="3"/>
      <c r="Q236" s="3"/>
      <c r="R236" s="86">
        <f>'MK IMC Calculations'!O149</f>
        <v>43445.880000000012</v>
      </c>
      <c r="T236" s="64">
        <f>'MK IMC Calculations'!G156</f>
        <v>0.03</v>
      </c>
    </row>
    <row r="237" spans="2:20" x14ac:dyDescent="0.2">
      <c r="B237" s="79" t="s">
        <v>1168</v>
      </c>
      <c r="C237" s="79" t="s">
        <v>1168</v>
      </c>
      <c r="F237" s="3"/>
      <c r="G237" s="65"/>
      <c r="H237" s="3"/>
      <c r="I237" s="3"/>
      <c r="J237" s="3"/>
      <c r="K237" s="3"/>
      <c r="L237" s="3"/>
      <c r="M237" s="3"/>
      <c r="N237" s="3"/>
      <c r="O237" s="3"/>
      <c r="P237" s="65"/>
      <c r="Q237" s="3"/>
    </row>
    <row r="238" spans="2:20" x14ac:dyDescent="0.2">
      <c r="B238" s="79" t="s">
        <v>1169</v>
      </c>
      <c r="C238" s="79" t="s">
        <v>1169</v>
      </c>
      <c r="F238" s="65"/>
      <c r="G238" s="3"/>
      <c r="H238" s="3"/>
      <c r="I238" s="3"/>
      <c r="J238" s="3"/>
      <c r="K238" s="3"/>
      <c r="L238" s="3"/>
      <c r="M238" s="3"/>
      <c r="N238" s="3"/>
      <c r="O238" s="65"/>
      <c r="P238" s="3"/>
      <c r="Q238" s="3"/>
    </row>
    <row r="239" spans="2:20" x14ac:dyDescent="0.2">
      <c r="B239" s="79" t="s">
        <v>1170</v>
      </c>
      <c r="C239" s="79" t="s">
        <v>1170</v>
      </c>
      <c r="F239" s="3"/>
      <c r="G239" s="3"/>
      <c r="H239" s="65"/>
      <c r="I239" s="3"/>
      <c r="J239" s="3"/>
      <c r="K239" s="3"/>
      <c r="L239" s="3"/>
      <c r="M239" s="3"/>
      <c r="N239" s="3"/>
      <c r="O239" s="3"/>
      <c r="P239" s="3"/>
      <c r="Q239" s="65"/>
    </row>
    <row r="240" spans="2:20" x14ac:dyDescent="0.2">
      <c r="B240" s="79" t="s">
        <v>1171</v>
      </c>
      <c r="C240" s="79" t="s">
        <v>1171</v>
      </c>
      <c r="F240" s="3"/>
      <c r="G240" s="3"/>
      <c r="H240" s="3"/>
      <c r="I240" s="65"/>
      <c r="J240" s="3"/>
      <c r="K240" s="3"/>
      <c r="L240" s="3"/>
      <c r="M240" s="3"/>
      <c r="N240" s="3"/>
      <c r="O240" s="65"/>
      <c r="P240" s="3"/>
      <c r="Q240" s="3"/>
    </row>
    <row r="241" spans="2:20" ht="16" x14ac:dyDescent="0.2">
      <c r="B241" s="151" t="s">
        <v>1229</v>
      </c>
      <c r="C241" s="151" t="s">
        <v>1229</v>
      </c>
      <c r="F241" s="3"/>
      <c r="G241" s="65"/>
      <c r="H241" s="3"/>
      <c r="I241" s="3"/>
      <c r="J241" s="3"/>
      <c r="K241" s="3"/>
      <c r="L241" s="3"/>
      <c r="M241" s="164"/>
      <c r="N241" s="3"/>
      <c r="O241" s="3"/>
      <c r="P241" s="3"/>
    </row>
    <row r="242" spans="2:20" ht="16" x14ac:dyDescent="0.2">
      <c r="B242" s="151" t="s">
        <v>1217</v>
      </c>
      <c r="C242" s="151" t="s">
        <v>1217</v>
      </c>
      <c r="F242" s="65"/>
      <c r="G242" s="3"/>
      <c r="H242" s="3"/>
      <c r="I242" s="3"/>
      <c r="J242" s="3"/>
      <c r="K242" s="3"/>
      <c r="L242" s="3"/>
      <c r="M242" s="3"/>
      <c r="N242" s="3"/>
      <c r="O242" s="3"/>
      <c r="P242" s="3"/>
    </row>
    <row r="243" spans="2:20" ht="32" x14ac:dyDescent="0.2">
      <c r="B243" s="151" t="s">
        <v>1230</v>
      </c>
      <c r="C243" s="151" t="s">
        <v>1230</v>
      </c>
      <c r="F243" s="3"/>
      <c r="G243" s="3"/>
      <c r="H243" s="65"/>
      <c r="I243" s="3"/>
      <c r="J243" s="3"/>
      <c r="K243" s="3"/>
      <c r="L243" s="3"/>
      <c r="M243" s="3"/>
      <c r="N243" s="3"/>
      <c r="O243" s="3"/>
      <c r="P243" s="3"/>
    </row>
    <row r="244" spans="2:20" ht="16" x14ac:dyDescent="0.2">
      <c r="B244" s="151" t="s">
        <v>1218</v>
      </c>
      <c r="C244" s="151" t="s">
        <v>1218</v>
      </c>
      <c r="F244" s="3"/>
      <c r="G244" s="65"/>
      <c r="H244" s="3"/>
      <c r="I244" s="3"/>
      <c r="J244" s="3"/>
      <c r="K244" s="3"/>
      <c r="L244" s="3"/>
      <c r="M244" s="3"/>
      <c r="N244" s="3"/>
      <c r="O244" s="3"/>
      <c r="P244" s="3"/>
    </row>
    <row r="245" spans="2:20" x14ac:dyDescent="0.2">
      <c r="B245" s="67" t="s">
        <v>1172</v>
      </c>
      <c r="C245" s="67" t="s">
        <v>1172</v>
      </c>
      <c r="F245" s="68"/>
      <c r="G245" s="68"/>
      <c r="H245" s="68"/>
      <c r="I245" s="68"/>
      <c r="J245" s="68"/>
      <c r="K245" s="68"/>
      <c r="L245" s="68"/>
      <c r="M245" s="68"/>
      <c r="N245" s="68"/>
      <c r="O245" s="68"/>
      <c r="P245" s="68"/>
      <c r="Q245" s="68"/>
      <c r="R245" s="86">
        <f>R285*'MK IMC Calculations'!C41</f>
        <v>10454.8464</v>
      </c>
      <c r="T245" s="64">
        <f>'MK IMC Calculations'!C41</f>
        <v>0.03</v>
      </c>
    </row>
    <row r="246" spans="2:20" x14ac:dyDescent="0.2">
      <c r="B246" s="67" t="s">
        <v>1208</v>
      </c>
      <c r="C246" s="67" t="s">
        <v>1208</v>
      </c>
      <c r="P246" s="3"/>
      <c r="Q246" s="3"/>
      <c r="R246" s="86">
        <f>'MK IMC Calculations'!K13</f>
        <v>84000</v>
      </c>
      <c r="T246" s="64">
        <f>'MK IMC Calculations'!K17</f>
        <v>3.3600000000000005E-2</v>
      </c>
    </row>
    <row r="247" spans="2:20" x14ac:dyDescent="0.2">
      <c r="B247" s="79" t="s">
        <v>1174</v>
      </c>
      <c r="C247" s="79" t="s">
        <v>1174</v>
      </c>
      <c r="K247" s="155"/>
      <c r="L247" s="155"/>
      <c r="M247" s="154"/>
      <c r="N247" s="154"/>
      <c r="O247" s="155"/>
      <c r="P247" s="155"/>
      <c r="Q247" s="155"/>
    </row>
    <row r="248" spans="2:20" x14ac:dyDescent="0.2">
      <c r="B248" s="79" t="s">
        <v>1175</v>
      </c>
      <c r="C248" s="79" t="s">
        <v>1175</v>
      </c>
      <c r="K248" s="154"/>
      <c r="L248" s="155"/>
      <c r="M248" s="154"/>
      <c r="N248" s="154"/>
      <c r="O248" s="155"/>
      <c r="P248" s="155"/>
      <c r="Q248" s="155"/>
    </row>
    <row r="249" spans="2:20" x14ac:dyDescent="0.2">
      <c r="B249" s="79" t="s">
        <v>1176</v>
      </c>
      <c r="C249" s="79" t="s">
        <v>1176</v>
      </c>
      <c r="K249" s="154"/>
      <c r="L249" s="155"/>
      <c r="M249" s="154"/>
      <c r="N249" s="154"/>
      <c r="O249" s="155"/>
      <c r="P249" s="155"/>
      <c r="Q249" s="155"/>
    </row>
    <row r="250" spans="2:20" x14ac:dyDescent="0.2">
      <c r="B250" s="79" t="s">
        <v>1177</v>
      </c>
      <c r="C250" s="79" t="s">
        <v>1177</v>
      </c>
      <c r="G250" s="155"/>
      <c r="H250" s="155"/>
      <c r="I250" s="155"/>
      <c r="J250" s="155"/>
      <c r="K250" s="154"/>
      <c r="L250" s="154"/>
      <c r="M250" s="154"/>
      <c r="N250" s="155"/>
      <c r="O250" s="154"/>
    </row>
    <row r="251" spans="2:20" x14ac:dyDescent="0.2">
      <c r="B251" s="79" t="s">
        <v>1178</v>
      </c>
      <c r="C251" s="79" t="s">
        <v>1178</v>
      </c>
      <c r="G251" s="155"/>
      <c r="H251" s="155"/>
      <c r="I251" s="155"/>
      <c r="J251" s="155"/>
      <c r="K251" s="154"/>
      <c r="L251" s="154"/>
      <c r="M251" s="154"/>
      <c r="N251" s="155"/>
      <c r="O251" s="154"/>
    </row>
    <row r="252" spans="2:20" x14ac:dyDescent="0.2">
      <c r="B252" s="79" t="s">
        <v>1179</v>
      </c>
      <c r="C252" s="79" t="s">
        <v>1179</v>
      </c>
      <c r="G252" s="155"/>
      <c r="H252" s="155"/>
      <c r="I252" s="155"/>
      <c r="J252" s="155"/>
      <c r="K252" s="154"/>
      <c r="L252" s="154"/>
      <c r="M252" s="154"/>
      <c r="N252" s="155"/>
      <c r="O252" s="154"/>
    </row>
    <row r="253" spans="2:20" x14ac:dyDescent="0.2">
      <c r="B253" s="79" t="s">
        <v>1180</v>
      </c>
      <c r="C253" s="79" t="s">
        <v>1180</v>
      </c>
      <c r="G253" s="155"/>
      <c r="H253" s="155"/>
      <c r="I253" s="155"/>
      <c r="J253" s="155"/>
      <c r="K253" s="154"/>
      <c r="L253" s="154"/>
      <c r="M253" s="154"/>
      <c r="N253" s="155"/>
      <c r="O253" s="154"/>
    </row>
    <row r="254" spans="2:20" x14ac:dyDescent="0.2">
      <c r="B254" s="79" t="s">
        <v>1181</v>
      </c>
      <c r="C254" s="79" t="s">
        <v>1181</v>
      </c>
      <c r="K254" s="154"/>
      <c r="L254" s="155"/>
      <c r="M254" s="154"/>
      <c r="N254" s="154"/>
      <c r="O254" s="154"/>
      <c r="P254" s="155"/>
      <c r="Q254" s="155"/>
    </row>
    <row r="255" spans="2:20" x14ac:dyDescent="0.2">
      <c r="B255" s="79" t="s">
        <v>1182</v>
      </c>
      <c r="C255" s="79"/>
      <c r="G255" s="155"/>
      <c r="H255" s="155"/>
      <c r="L255" s="3"/>
      <c r="O255" s="154"/>
      <c r="P255" s="3"/>
      <c r="Q255" s="3"/>
    </row>
    <row r="256" spans="2:20" x14ac:dyDescent="0.2">
      <c r="B256" s="79" t="s">
        <v>1183</v>
      </c>
      <c r="C256" s="79"/>
      <c r="G256" s="155"/>
      <c r="H256" s="155"/>
      <c r="L256" s="3"/>
      <c r="O256" s="154"/>
      <c r="P256" s="3"/>
      <c r="Q256" s="3"/>
    </row>
    <row r="257" spans="2:20" x14ac:dyDescent="0.2">
      <c r="B257" s="67" t="s">
        <v>1231</v>
      </c>
      <c r="C257" s="67" t="s">
        <v>1231</v>
      </c>
      <c r="P257" s="3"/>
      <c r="Q257" s="3"/>
      <c r="R257" s="86">
        <f>'MK IMC Calculations'!E54</f>
        <v>20549</v>
      </c>
      <c r="T257" s="64">
        <f>'MK IMC Calculations'!E57</f>
        <v>8.2196000000000005E-3</v>
      </c>
    </row>
    <row r="258" spans="2:20" x14ac:dyDescent="0.2">
      <c r="B258" s="79" t="s">
        <v>1175</v>
      </c>
      <c r="C258" s="79" t="s">
        <v>1175</v>
      </c>
      <c r="H258" s="156"/>
      <c r="P258" s="157"/>
      <c r="Q258" s="3"/>
    </row>
    <row r="259" spans="2:20" x14ac:dyDescent="0.2">
      <c r="B259" s="79" t="s">
        <v>1232</v>
      </c>
      <c r="C259" s="79" t="s">
        <v>1232</v>
      </c>
      <c r="H259" s="156"/>
      <c r="P259" s="157"/>
      <c r="Q259" s="3"/>
    </row>
    <row r="260" spans="2:20" x14ac:dyDescent="0.2">
      <c r="B260" s="79" t="s">
        <v>1174</v>
      </c>
      <c r="C260" s="79" t="s">
        <v>1174</v>
      </c>
      <c r="H260" s="156"/>
      <c r="P260" s="157"/>
      <c r="Q260" s="3"/>
    </row>
    <row r="261" spans="2:20" x14ac:dyDescent="0.2">
      <c r="B261" s="79" t="s">
        <v>1233</v>
      </c>
      <c r="C261" s="79" t="s">
        <v>1233</v>
      </c>
      <c r="H261" s="156"/>
      <c r="P261" s="157"/>
      <c r="Q261" s="3"/>
    </row>
    <row r="262" spans="2:20" x14ac:dyDescent="0.2">
      <c r="B262" s="79" t="s">
        <v>1180</v>
      </c>
      <c r="C262" s="79" t="s">
        <v>1180</v>
      </c>
      <c r="H262" s="156"/>
      <c r="P262" s="157"/>
      <c r="Q262" s="3"/>
    </row>
    <row r="263" spans="2:20" x14ac:dyDescent="0.2">
      <c r="B263" s="79" t="s">
        <v>1183</v>
      </c>
      <c r="C263" s="79" t="s">
        <v>1181</v>
      </c>
      <c r="H263" s="156"/>
      <c r="P263" s="157"/>
      <c r="Q263" s="3"/>
    </row>
    <row r="264" spans="2:20" x14ac:dyDescent="0.2">
      <c r="B264" s="79" t="s">
        <v>1176</v>
      </c>
      <c r="C264" s="79" t="s">
        <v>1176</v>
      </c>
      <c r="H264" s="156"/>
      <c r="P264" s="157"/>
      <c r="Q264" s="3"/>
    </row>
    <row r="265" spans="2:20" x14ac:dyDescent="0.2">
      <c r="B265" s="79" t="s">
        <v>1179</v>
      </c>
      <c r="C265" s="79" t="s">
        <v>1179</v>
      </c>
      <c r="H265" s="156"/>
      <c r="P265" s="157"/>
      <c r="Q265" s="3"/>
    </row>
    <row r="266" spans="2:20" x14ac:dyDescent="0.2">
      <c r="B266" s="79" t="s">
        <v>1181</v>
      </c>
      <c r="C266" s="79" t="s">
        <v>1181</v>
      </c>
      <c r="H266" s="156"/>
      <c r="P266" s="157"/>
      <c r="Q266" s="3"/>
    </row>
    <row r="267" spans="2:20" x14ac:dyDescent="0.2">
      <c r="B267" s="79" t="s">
        <v>1182</v>
      </c>
      <c r="C267" s="79" t="s">
        <v>1182</v>
      </c>
      <c r="H267" s="156"/>
      <c r="P267" s="157"/>
      <c r="Q267" s="3"/>
    </row>
    <row r="268" spans="2:20" x14ac:dyDescent="0.2">
      <c r="B268" s="67" t="s">
        <v>1184</v>
      </c>
      <c r="C268" s="67" t="s">
        <v>1184</v>
      </c>
      <c r="F268" s="3" t="s">
        <v>38</v>
      </c>
      <c r="G268" s="3"/>
      <c r="H268" s="3"/>
      <c r="I268" s="3"/>
      <c r="J268" s="3"/>
      <c r="K268" s="3"/>
      <c r="L268" s="3"/>
      <c r="M268" s="3"/>
      <c r="P268" s="3"/>
      <c r="Q268" s="3"/>
      <c r="R268" s="86">
        <f>'MK IMC Calculations'!I68</f>
        <v>59000</v>
      </c>
      <c r="T268" s="64">
        <f>'MK IMC Calculations'!I73</f>
        <v>2.3600000000000003E-2</v>
      </c>
    </row>
    <row r="269" spans="2:20" x14ac:dyDescent="0.2">
      <c r="B269" s="70" t="s">
        <v>1241</v>
      </c>
      <c r="C269" s="70" t="s">
        <v>1241</v>
      </c>
      <c r="F269" s="3"/>
      <c r="G269" s="3"/>
      <c r="H269" s="3"/>
      <c r="I269" s="3"/>
      <c r="J269" s="156"/>
      <c r="K269" s="3"/>
      <c r="L269" s="3"/>
      <c r="M269" s="156"/>
      <c r="P269" s="3"/>
      <c r="Q269" s="3"/>
    </row>
    <row r="270" spans="2:20" x14ac:dyDescent="0.2">
      <c r="B270" s="70" t="s">
        <v>1242</v>
      </c>
      <c r="C270" s="70" t="s">
        <v>1242</v>
      </c>
      <c r="F270" s="3"/>
      <c r="G270" s="3"/>
      <c r="H270" s="3"/>
      <c r="I270" s="3"/>
      <c r="J270" s="156"/>
      <c r="K270" s="3"/>
      <c r="L270" s="3"/>
      <c r="M270" s="156"/>
      <c r="P270" s="3"/>
      <c r="Q270" s="3"/>
    </row>
    <row r="271" spans="2:20" x14ac:dyDescent="0.2">
      <c r="B271" s="79" t="s">
        <v>1176</v>
      </c>
      <c r="C271" s="79" t="s">
        <v>1176</v>
      </c>
      <c r="J271" s="156"/>
      <c r="K271" s="3"/>
      <c r="L271" s="3"/>
      <c r="M271" s="156"/>
    </row>
    <row r="272" spans="2:20" x14ac:dyDescent="0.2">
      <c r="B272" s="79" t="s">
        <v>1179</v>
      </c>
      <c r="C272" s="79" t="s">
        <v>1179</v>
      </c>
      <c r="J272" s="156"/>
      <c r="K272" s="3"/>
      <c r="L272" s="3"/>
      <c r="M272" s="156"/>
    </row>
    <row r="273" spans="2:20" x14ac:dyDescent="0.2">
      <c r="B273" s="79" t="s">
        <v>1181</v>
      </c>
      <c r="C273" s="79" t="s">
        <v>1181</v>
      </c>
      <c r="J273" s="156"/>
      <c r="K273" s="3"/>
      <c r="L273" s="3"/>
      <c r="M273" s="156"/>
    </row>
    <row r="274" spans="2:20" x14ac:dyDescent="0.2">
      <c r="B274" s="79" t="s">
        <v>1182</v>
      </c>
      <c r="C274" s="79" t="s">
        <v>1182</v>
      </c>
      <c r="J274" s="156"/>
      <c r="K274" s="3"/>
      <c r="L274" s="3"/>
      <c r="M274" s="156"/>
    </row>
    <row r="275" spans="2:20" x14ac:dyDescent="0.2">
      <c r="B275" s="5" t="s">
        <v>1243</v>
      </c>
      <c r="C275" s="5" t="s">
        <v>1243</v>
      </c>
      <c r="T275" s="64">
        <f>IF(SUM(T257,T268)&gt;0.03,0.03,SUM(T257,T268))</f>
        <v>0.03</v>
      </c>
    </row>
    <row r="276" spans="2:20" x14ac:dyDescent="0.2">
      <c r="B276" s="67" t="s">
        <v>1219</v>
      </c>
      <c r="C276" s="67" t="s">
        <v>1219</v>
      </c>
      <c r="K276" s="3"/>
      <c r="L276" s="3"/>
      <c r="M276" s="3"/>
      <c r="R276" s="86">
        <f>'MK IMC Calculations'!C85</f>
        <v>50000</v>
      </c>
      <c r="T276" s="64">
        <f>'MK IMC Calculations'!E86</f>
        <v>0.05</v>
      </c>
    </row>
    <row r="277" spans="2:20" x14ac:dyDescent="0.2">
      <c r="B277" s="158" t="s">
        <v>1220</v>
      </c>
      <c r="C277" s="158" t="s">
        <v>1220</v>
      </c>
      <c r="F277" s="69"/>
      <c r="G277" s="69"/>
      <c r="H277" s="69"/>
      <c r="I277" s="69"/>
      <c r="J277" s="69"/>
      <c r="K277" s="3"/>
      <c r="M277" s="3"/>
      <c r="O277" s="3"/>
      <c r="P277" s="3"/>
      <c r="Q277" s="3"/>
    </row>
    <row r="278" spans="2:20" x14ac:dyDescent="0.2">
      <c r="B278" s="158" t="s">
        <v>1221</v>
      </c>
      <c r="C278" s="158" t="s">
        <v>1221</v>
      </c>
      <c r="K278" s="3"/>
      <c r="L278" s="3"/>
      <c r="M278" s="159"/>
      <c r="N278" s="69"/>
      <c r="O278" s="69"/>
      <c r="P278" s="159"/>
      <c r="Q278" s="159"/>
    </row>
    <row r="279" spans="2:20" x14ac:dyDescent="0.2">
      <c r="B279" s="63" t="s">
        <v>1188</v>
      </c>
      <c r="C279" s="63" t="s">
        <v>1188</v>
      </c>
      <c r="F279" s="3"/>
      <c r="G279" s="3"/>
      <c r="H279" s="3"/>
      <c r="I279" s="3"/>
      <c r="J279" s="3"/>
      <c r="K279" s="3"/>
      <c r="L279" s="3"/>
      <c r="M279" s="3"/>
      <c r="N279" s="3"/>
      <c r="O279" s="3"/>
      <c r="P279" s="3"/>
      <c r="Q279" s="3"/>
    </row>
    <row r="280" spans="2:20" x14ac:dyDescent="0.2">
      <c r="B280" s="70" t="s">
        <v>1189</v>
      </c>
      <c r="C280" s="70" t="s">
        <v>1189</v>
      </c>
      <c r="F280" s="3"/>
      <c r="G280" s="3"/>
      <c r="H280" s="3"/>
      <c r="I280" s="3"/>
      <c r="J280" s="3"/>
      <c r="K280" s="3"/>
      <c r="L280" s="3"/>
      <c r="M280" s="3"/>
      <c r="N280" s="3"/>
      <c r="O280" s="3"/>
      <c r="P280" s="3"/>
      <c r="Q280" s="3"/>
      <c r="T280" s="64">
        <f>'MK IMC Calculations'!E166*0.5*3/'MK Bases Model (Base Case)'!G7</f>
        <v>2.6276349257417432E-2</v>
      </c>
    </row>
    <row r="281" spans="2:20" x14ac:dyDescent="0.2">
      <c r="B281" s="67" t="s">
        <v>1190</v>
      </c>
      <c r="C281" s="67" t="s">
        <v>1190</v>
      </c>
      <c r="F281" s="72"/>
      <c r="G281" s="73"/>
      <c r="H281" s="73"/>
      <c r="I281" s="73"/>
      <c r="J281" s="73"/>
      <c r="K281" s="73"/>
      <c r="L281" s="73"/>
      <c r="M281" s="73"/>
      <c r="N281" s="73"/>
      <c r="O281" s="73"/>
      <c r="P281" s="73"/>
      <c r="Q281" s="72"/>
      <c r="R281" s="86">
        <f>'MK IMC Calculations'!E180</f>
        <v>10000</v>
      </c>
      <c r="T281" s="64">
        <f>'MK IMC Calculations'!D180</f>
        <v>0.01</v>
      </c>
    </row>
    <row r="282" spans="2:20" x14ac:dyDescent="0.2">
      <c r="B282" s="67" t="s">
        <v>1209</v>
      </c>
      <c r="C282" s="67" t="s">
        <v>1209</v>
      </c>
      <c r="G282" s="3"/>
      <c r="H282" s="3"/>
      <c r="I282" s="3"/>
      <c r="J282" s="3"/>
      <c r="K282" s="3"/>
      <c r="L282" s="3"/>
      <c r="M282" s="3"/>
      <c r="N282" s="3"/>
      <c r="O282" s="3"/>
      <c r="P282" s="3"/>
      <c r="T282" s="64">
        <v>0.02</v>
      </c>
    </row>
    <row r="283" spans="2:20" x14ac:dyDescent="0.2">
      <c r="B283" s="63" t="s">
        <v>1191</v>
      </c>
      <c r="C283" s="63" t="s">
        <v>1191</v>
      </c>
      <c r="F283" s="3"/>
      <c r="G283" s="3"/>
      <c r="H283" s="3"/>
      <c r="I283" s="3"/>
      <c r="J283" s="3"/>
      <c r="K283" s="3"/>
      <c r="L283" s="3"/>
      <c r="M283" s="3"/>
      <c r="N283" s="3"/>
      <c r="O283" s="3"/>
      <c r="P283" s="3"/>
      <c r="Q283" s="3"/>
    </row>
    <row r="284" spans="2:20" x14ac:dyDescent="0.2">
      <c r="B284" s="67" t="s">
        <v>1192</v>
      </c>
      <c r="C284" s="67" t="s">
        <v>1192</v>
      </c>
      <c r="F284" s="74"/>
      <c r="G284" s="74"/>
      <c r="H284" s="74"/>
      <c r="I284" s="74"/>
      <c r="J284" s="74"/>
      <c r="K284" s="74"/>
      <c r="L284" s="74"/>
      <c r="M284" s="74"/>
      <c r="N284" s="74"/>
      <c r="O284" s="74"/>
      <c r="P284" s="74"/>
      <c r="Q284" s="74"/>
      <c r="R284" s="86">
        <f>'MK IMC Calculations'!E189</f>
        <v>1500</v>
      </c>
    </row>
    <row r="285" spans="2:20" x14ac:dyDescent="0.2">
      <c r="B285" s="75" t="s">
        <v>1210</v>
      </c>
      <c r="C285" s="75" t="s">
        <v>1210</v>
      </c>
      <c r="R285" s="86">
        <f>SUM(R235:R236,R246,R257,R268,R276,R281,R284)</f>
        <v>348494.88</v>
      </c>
    </row>
    <row r="286" spans="2:20" ht="16" thickBot="1" x14ac:dyDescent="0.25">
      <c r="B286" s="83" t="s">
        <v>1194</v>
      </c>
      <c r="C286" s="83" t="s">
        <v>1194</v>
      </c>
      <c r="F286" s="84"/>
      <c r="G286" s="84"/>
      <c r="H286" s="84"/>
      <c r="I286" s="84"/>
      <c r="J286" s="84"/>
      <c r="K286" s="84"/>
      <c r="L286" s="84"/>
      <c r="M286" s="84"/>
      <c r="N286" s="84"/>
      <c r="O286" s="84"/>
      <c r="P286" s="84"/>
      <c r="Q286" s="84"/>
      <c r="R286" s="977">
        <f>R285+R245</f>
        <v>358949.72639999999</v>
      </c>
      <c r="S286" s="167"/>
      <c r="T286" s="851">
        <f>SUM(T235:T246,T275:T282)</f>
        <v>0.30987634925741753</v>
      </c>
    </row>
    <row r="287" spans="2:20" x14ac:dyDescent="0.2">
      <c r="B287" s="61" t="s">
        <v>1195</v>
      </c>
      <c r="C287" s="61" t="s">
        <v>1195</v>
      </c>
      <c r="F287" s="3"/>
      <c r="G287" s="3"/>
      <c r="H287" s="3"/>
      <c r="I287" s="3"/>
      <c r="J287" s="3"/>
      <c r="K287" s="3"/>
      <c r="L287" s="3"/>
      <c r="M287" s="3"/>
      <c r="N287" s="3"/>
      <c r="O287" s="3"/>
      <c r="P287" s="3"/>
      <c r="Q287" s="3"/>
    </row>
    <row r="288" spans="2:20" x14ac:dyDescent="0.2">
      <c r="B288" s="67" t="s">
        <v>1196</v>
      </c>
      <c r="C288" s="67" t="s">
        <v>1196</v>
      </c>
      <c r="F288" s="3"/>
      <c r="G288" s="3"/>
      <c r="H288" s="3"/>
      <c r="I288" s="3"/>
      <c r="J288" s="3"/>
      <c r="K288" s="3"/>
      <c r="L288" s="3"/>
      <c r="M288" s="3"/>
      <c r="N288" s="3"/>
      <c r="O288" s="3"/>
      <c r="P288" s="3"/>
      <c r="Q288" s="3"/>
      <c r="R288" s="86">
        <f>'MK IMC Calculations'!D203</f>
        <v>17000</v>
      </c>
    </row>
    <row r="289" spans="2:20" x14ac:dyDescent="0.2">
      <c r="B289" s="91" t="s">
        <v>1197</v>
      </c>
      <c r="C289" s="91" t="s">
        <v>1197</v>
      </c>
      <c r="F289" s="3"/>
      <c r="G289" s="3"/>
      <c r="H289" s="3"/>
      <c r="I289" s="3"/>
      <c r="J289" s="3"/>
      <c r="K289" s="3"/>
      <c r="L289" s="3"/>
      <c r="M289" s="3"/>
      <c r="N289" s="3"/>
      <c r="O289" s="3"/>
      <c r="P289" s="78"/>
      <c r="Q289" s="3"/>
    </row>
    <row r="290" spans="2:20" x14ac:dyDescent="0.2">
      <c r="B290" s="79" t="s">
        <v>1198</v>
      </c>
      <c r="C290" s="79" t="s">
        <v>1198</v>
      </c>
      <c r="F290" s="3"/>
      <c r="G290" s="78"/>
      <c r="H290" s="3"/>
      <c r="I290" s="3"/>
      <c r="J290" s="3"/>
      <c r="K290" s="3"/>
      <c r="L290" s="3"/>
      <c r="M290" s="3"/>
      <c r="N290" s="3"/>
      <c r="O290" s="3"/>
      <c r="P290" s="3"/>
      <c r="Q290" s="3"/>
    </row>
    <row r="291" spans="2:20" x14ac:dyDescent="0.2">
      <c r="B291" s="67" t="s">
        <v>1199</v>
      </c>
      <c r="C291" s="67" t="s">
        <v>1199</v>
      </c>
      <c r="F291" s="3"/>
      <c r="G291" s="3"/>
      <c r="H291" s="3"/>
      <c r="I291" s="3"/>
      <c r="J291" s="3"/>
      <c r="K291" s="3"/>
      <c r="L291" s="3"/>
      <c r="M291" s="3"/>
      <c r="N291" s="3"/>
      <c r="O291" s="3"/>
      <c r="P291" s="3"/>
      <c r="Q291" s="3"/>
    </row>
    <row r="292" spans="2:20" x14ac:dyDescent="0.2">
      <c r="B292" s="80" t="s">
        <v>1211</v>
      </c>
      <c r="C292" s="80" t="s">
        <v>1211</v>
      </c>
      <c r="F292" s="3"/>
      <c r="G292" s="3"/>
      <c r="H292" s="3"/>
      <c r="I292" s="3"/>
      <c r="J292" s="3"/>
      <c r="K292" s="78"/>
      <c r="L292" s="3"/>
      <c r="M292" s="3"/>
      <c r="N292" s="3"/>
      <c r="O292" s="78"/>
      <c r="P292" s="3"/>
      <c r="Q292" s="3"/>
      <c r="R292" s="86">
        <f>'MK IMC Calculations'!D208</f>
        <v>7800</v>
      </c>
    </row>
    <row r="293" spans="2:20" ht="16" thickBot="1" x14ac:dyDescent="0.25">
      <c r="B293" s="83" t="s">
        <v>1201</v>
      </c>
      <c r="C293" s="83" t="s">
        <v>1201</v>
      </c>
      <c r="D293" s="167"/>
      <c r="E293" s="167"/>
      <c r="F293" s="84"/>
      <c r="G293" s="84"/>
      <c r="H293" s="84"/>
      <c r="I293" s="84"/>
      <c r="J293" s="84"/>
      <c r="K293" s="84"/>
      <c r="L293" s="84"/>
      <c r="M293" s="84"/>
      <c r="N293" s="84"/>
      <c r="O293" s="84"/>
      <c r="P293" s="84"/>
      <c r="Q293" s="84"/>
      <c r="R293" s="977">
        <f>R288+R292</f>
        <v>24800</v>
      </c>
      <c r="S293" s="167"/>
      <c r="T293" s="851">
        <f>SUM(T287:T292)</f>
        <v>0</v>
      </c>
    </row>
    <row r="294" spans="2:20" x14ac:dyDescent="0.2">
      <c r="B294" s="81" t="s">
        <v>1202</v>
      </c>
      <c r="C294" s="81" t="s">
        <v>1202</v>
      </c>
      <c r="F294" s="3"/>
      <c r="G294" s="3"/>
      <c r="H294" s="3"/>
      <c r="I294" s="3"/>
      <c r="J294" s="3"/>
      <c r="K294" s="3"/>
      <c r="L294" s="3"/>
      <c r="M294" s="3"/>
      <c r="N294" s="3"/>
      <c r="O294" s="3"/>
      <c r="P294" s="3"/>
      <c r="Q294" s="3"/>
      <c r="R294" s="966">
        <f>R293+R286</f>
        <v>383749.72639999999</v>
      </c>
      <c r="T294" s="967">
        <f>T293+T286</f>
        <v>0.30987634925741753</v>
      </c>
    </row>
    <row r="297" spans="2:20" ht="32" x14ac:dyDescent="0.2">
      <c r="Q297" s="88" t="s">
        <v>1244</v>
      </c>
      <c r="R297" s="86">
        <f>'FE Income Statement'!I5</f>
        <v>7536347.7720434312</v>
      </c>
    </row>
    <row r="298" spans="2:20" x14ac:dyDescent="0.2">
      <c r="Q298" s="634" t="s">
        <v>1204</v>
      </c>
      <c r="R298" s="631">
        <f>R294/R297</f>
        <v>5.0919853755096653E-2</v>
      </c>
    </row>
  </sheetData>
  <mergeCells count="1">
    <mergeCell ref="B3:T3"/>
  </mergeCells>
  <hyperlinks>
    <hyperlink ref="B1" location="Index!A1" display="Back to Index" xr:uid="{1683128D-57B9-40F2-A1BB-717CD3DCF9C1}"/>
  </hyperlinks>
  <pageMargins left="0.7" right="0.7" top="0.75" bottom="0.75" header="0.3" footer="0.3"/>
  <drawing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5CB67-AB8D-0E42-9964-333ECE916C5E}">
  <sheetPr published="0">
    <tabColor rgb="FF00B0F0"/>
  </sheetPr>
  <dimension ref="A1:AG35"/>
  <sheetViews>
    <sheetView showGridLines="0" zoomScale="131" zoomScaleNormal="55" workbookViewId="0">
      <selection activeCell="U31" sqref="U31"/>
    </sheetView>
  </sheetViews>
  <sheetFormatPr baseColWidth="10" defaultColWidth="11.5" defaultRowHeight="15" x14ac:dyDescent="0.2"/>
  <cols>
    <col min="1" max="1" width="1.83203125" customWidth="1"/>
    <col min="3" max="3" width="19.83203125" customWidth="1"/>
    <col min="4" max="4" width="24.5" customWidth="1"/>
    <col min="5" max="5" width="21.5" customWidth="1"/>
    <col min="6" max="6" width="23.5" customWidth="1"/>
    <col min="7" max="7" width="23.1640625" customWidth="1"/>
    <col min="8" max="8" width="20.6640625" customWidth="1"/>
    <col min="9" max="9" width="21.1640625" customWidth="1"/>
    <col min="10" max="10" width="11.6640625" bestFit="1" customWidth="1"/>
    <col min="11" max="11" width="17.5" customWidth="1"/>
    <col min="12" max="12" width="11.6640625" bestFit="1" customWidth="1"/>
    <col min="13" max="13" width="20.5" customWidth="1"/>
    <col min="14" max="14" width="19.5" customWidth="1"/>
    <col min="15" max="15" width="22.5" customWidth="1"/>
    <col min="16" max="16" width="29.83203125" customWidth="1"/>
    <col min="17" max="17" width="22.83203125" customWidth="1"/>
    <col min="18" max="18" width="23.5" customWidth="1"/>
    <col min="24" max="24" width="24.1640625" customWidth="1"/>
    <col min="25" max="25" width="5.83203125" customWidth="1"/>
    <col min="26" max="26" width="0" hidden="1" customWidth="1"/>
  </cols>
  <sheetData>
    <row r="1" spans="1:33" ht="14.5" customHeight="1" x14ac:dyDescent="0.3">
      <c r="A1" s="52"/>
      <c r="B1" s="56" t="s">
        <v>37</v>
      </c>
      <c r="C1" s="1473"/>
      <c r="D1" s="1473"/>
      <c r="E1" s="1473"/>
      <c r="F1" s="1473"/>
      <c r="G1" s="1473"/>
      <c r="H1" s="1473"/>
      <c r="J1" s="5" t="s">
        <v>1245</v>
      </c>
    </row>
    <row r="2" spans="1:33" ht="43" customHeight="1" x14ac:dyDescent="0.3">
      <c r="B2" s="1473"/>
      <c r="C2" s="1473"/>
      <c r="D2" s="1473"/>
      <c r="E2" s="1473"/>
      <c r="F2" s="1473"/>
      <c r="G2" s="1473"/>
      <c r="H2" s="1473"/>
      <c r="J2" s="21" t="s">
        <v>1246</v>
      </c>
      <c r="K2" t="s">
        <v>1247</v>
      </c>
    </row>
    <row r="3" spans="1:33" x14ac:dyDescent="0.2">
      <c r="B3" s="1818" t="s">
        <v>32</v>
      </c>
      <c r="C3" s="1818"/>
      <c r="D3" s="1818"/>
      <c r="E3" s="1818"/>
      <c r="F3" s="1818"/>
      <c r="G3" s="1818"/>
      <c r="H3" s="1818"/>
      <c r="I3" s="1818"/>
      <c r="J3" s="1818"/>
      <c r="K3" s="1818"/>
      <c r="L3" s="1818"/>
      <c r="M3" s="1818"/>
      <c r="N3" s="1818"/>
      <c r="O3" s="1818"/>
      <c r="P3" s="1818"/>
      <c r="Q3" s="1818"/>
      <c r="R3" s="1818"/>
      <c r="S3" s="1818"/>
      <c r="T3" s="1818"/>
      <c r="U3" s="1818"/>
      <c r="V3" s="1818"/>
      <c r="W3" s="1818"/>
      <c r="X3" s="1818"/>
      <c r="Y3" s="1818"/>
      <c r="Z3" s="1818"/>
      <c r="AA3" s="1818"/>
      <c r="AB3" s="1818"/>
      <c r="AC3" s="1818"/>
      <c r="AD3" s="1818"/>
      <c r="AE3" s="1818"/>
      <c r="AF3" s="1818"/>
      <c r="AG3" s="1818"/>
    </row>
    <row r="5" spans="1:33" ht="25" thickBot="1" x14ac:dyDescent="0.35">
      <c r="B5" s="965" t="s">
        <v>1248</v>
      </c>
      <c r="C5" s="965"/>
      <c r="E5" s="1168" t="s">
        <v>1249</v>
      </c>
      <c r="F5" s="1169"/>
      <c r="G5" s="1169"/>
      <c r="H5" s="1169"/>
      <c r="I5" s="1169"/>
      <c r="J5" s="1169"/>
      <c r="K5" s="1169"/>
      <c r="L5" s="1169"/>
      <c r="O5" s="1164" t="s">
        <v>1250</v>
      </c>
      <c r="P5" s="1169"/>
      <c r="Q5" s="1169"/>
      <c r="R5" s="1165" t="s">
        <v>789</v>
      </c>
      <c r="S5" s="1165" t="s">
        <v>790</v>
      </c>
      <c r="T5" s="1166" t="s">
        <v>791</v>
      </c>
      <c r="U5" s="965"/>
      <c r="V5" s="965"/>
      <c r="W5" s="965"/>
      <c r="X5" s="965"/>
      <c r="AA5" s="1867" t="s">
        <v>1251</v>
      </c>
      <c r="AB5" s="1867"/>
      <c r="AC5" s="1867"/>
      <c r="AD5" s="1867"/>
      <c r="AE5" s="1867"/>
    </row>
    <row r="6" spans="1:33" ht="33" thickBot="1" x14ac:dyDescent="0.25">
      <c r="B6" s="941" t="s">
        <v>787</v>
      </c>
      <c r="C6" s="497" t="s">
        <v>1252</v>
      </c>
      <c r="D6" s="498" t="s">
        <v>1253</v>
      </c>
      <c r="E6" s="1717" t="s">
        <v>991</v>
      </c>
      <c r="F6" s="1718" t="s">
        <v>1254</v>
      </c>
      <c r="G6" s="1717" t="s">
        <v>994</v>
      </c>
      <c r="H6" s="1719" t="s">
        <v>1254</v>
      </c>
      <c r="I6" s="1720" t="s">
        <v>857</v>
      </c>
      <c r="J6" s="1721" t="s">
        <v>1254</v>
      </c>
      <c r="K6" s="1722" t="s">
        <v>846</v>
      </c>
      <c r="L6" s="1723" t="s">
        <v>1254</v>
      </c>
      <c r="O6" s="1724" t="s">
        <v>999</v>
      </c>
      <c r="P6" s="1725" t="s">
        <v>1255</v>
      </c>
      <c r="Q6" s="1725" t="s">
        <v>1256</v>
      </c>
      <c r="R6" s="1725" t="s">
        <v>1257</v>
      </c>
      <c r="S6" s="1726"/>
      <c r="T6" s="1167"/>
      <c r="U6" s="1163"/>
      <c r="V6" s="1163"/>
      <c r="W6" s="1163"/>
      <c r="X6" s="1163"/>
      <c r="Y6" s="1163"/>
      <c r="Z6" s="1160"/>
      <c r="AA6" s="1868" t="s">
        <v>1258</v>
      </c>
      <c r="AB6" s="1868"/>
      <c r="AC6" s="1868"/>
      <c r="AD6" s="1868"/>
      <c r="AE6" s="1868"/>
      <c r="AF6" s="1868"/>
      <c r="AG6" s="1868"/>
    </row>
    <row r="7" spans="1:33" ht="48" x14ac:dyDescent="0.2">
      <c r="B7" s="942" t="s">
        <v>1259</v>
      </c>
      <c r="C7" s="36">
        <v>0.02</v>
      </c>
      <c r="D7" s="535">
        <f>C7/C9</f>
        <v>0.14285714285714288</v>
      </c>
      <c r="E7" s="53" t="str">
        <f>$O$17</f>
        <v>Kip's Toyland</v>
      </c>
      <c r="F7" s="1727">
        <f>$R$17*D7</f>
        <v>7.1428571428571438E-2</v>
      </c>
      <c r="G7" s="1728" t="s">
        <v>880</v>
      </c>
      <c r="H7" s="1727">
        <f>D8</f>
        <v>0.85714285714285721</v>
      </c>
      <c r="I7" s="1729"/>
      <c r="J7" s="1730"/>
      <c r="K7" s="1731"/>
      <c r="L7" s="1732"/>
      <c r="O7" s="1728" t="s">
        <v>74</v>
      </c>
      <c r="P7" s="1169">
        <v>140</v>
      </c>
      <c r="Q7" s="1172">
        <v>237000000</v>
      </c>
      <c r="R7" s="1171">
        <v>0</v>
      </c>
      <c r="S7" s="1171">
        <v>0.5</v>
      </c>
      <c r="T7" s="1727">
        <v>0.5</v>
      </c>
      <c r="U7" s="1258"/>
      <c r="V7" s="1163"/>
      <c r="W7" s="1163"/>
      <c r="X7" s="1163"/>
      <c r="Y7" s="1163"/>
      <c r="Z7" s="1160"/>
      <c r="AA7" s="1868"/>
      <c r="AB7" s="1868"/>
      <c r="AC7" s="1868"/>
      <c r="AD7" s="1868"/>
      <c r="AE7" s="1868"/>
      <c r="AF7" s="1868"/>
      <c r="AG7" s="1868"/>
    </row>
    <row r="8" spans="1:33" ht="32" x14ac:dyDescent="0.2">
      <c r="B8" s="942" t="s">
        <v>1260</v>
      </c>
      <c r="C8" s="36">
        <v>0.12</v>
      </c>
      <c r="D8" s="535">
        <f>C8/C9</f>
        <v>0.85714285714285721</v>
      </c>
      <c r="E8" s="53" t="str">
        <f>$O$18</f>
        <v>The Toy Maven - Preston Hollow</v>
      </c>
      <c r="F8" s="1727">
        <f>$R$18*D7</f>
        <v>5.7142857142857155E-2</v>
      </c>
      <c r="G8" s="1728"/>
      <c r="H8" s="1733"/>
      <c r="I8" s="1729"/>
      <c r="J8" s="1730"/>
      <c r="K8" s="1731"/>
      <c r="L8" s="1732"/>
      <c r="O8" s="1728" t="s">
        <v>75</v>
      </c>
      <c r="P8" s="1169">
        <v>125</v>
      </c>
      <c r="Q8" s="1172">
        <v>81900000</v>
      </c>
      <c r="R8" s="1171">
        <v>1</v>
      </c>
      <c r="S8" s="1171">
        <v>0.4</v>
      </c>
      <c r="T8" s="1727">
        <v>0.4</v>
      </c>
      <c r="U8" s="1258"/>
      <c r="V8" s="1163"/>
      <c r="W8" s="1163"/>
      <c r="X8" s="1163"/>
      <c r="Y8" s="1163"/>
      <c r="Z8" s="1160"/>
      <c r="AA8" s="1868"/>
      <c r="AB8" s="1868"/>
      <c r="AC8" s="1868"/>
      <c r="AD8" s="1868"/>
      <c r="AE8" s="1868"/>
      <c r="AF8" s="1868"/>
      <c r="AG8" s="1868"/>
    </row>
    <row r="9" spans="1:33" ht="21" x14ac:dyDescent="0.2">
      <c r="B9" s="942" t="s">
        <v>1261</v>
      </c>
      <c r="C9" s="36">
        <f>SUM(C7:C8)</f>
        <v>0.13999999999999999</v>
      </c>
      <c r="D9" s="535">
        <f>C9/C9</f>
        <v>1</v>
      </c>
      <c r="E9" s="53" t="str">
        <f>$O$19</f>
        <v>Toys That Teach</v>
      </c>
      <c r="F9" s="1727">
        <f>$R$19*D7</f>
        <v>1.4285714285714289E-2</v>
      </c>
      <c r="G9" s="1728"/>
      <c r="H9" s="1733"/>
      <c r="I9" s="1729"/>
      <c r="J9" s="1730"/>
      <c r="K9" s="1731"/>
      <c r="L9" s="1732"/>
      <c r="O9" s="1734" t="s">
        <v>76</v>
      </c>
      <c r="P9" s="1735">
        <v>6</v>
      </c>
      <c r="Q9" s="1736">
        <v>8500000</v>
      </c>
      <c r="R9" s="1737">
        <v>0</v>
      </c>
      <c r="S9" s="1737">
        <v>0.1</v>
      </c>
      <c r="T9" s="1738">
        <v>0.1</v>
      </c>
      <c r="U9" s="1258"/>
      <c r="V9" s="1163"/>
      <c r="W9" s="1163"/>
      <c r="X9" s="1163"/>
      <c r="Y9" s="1163"/>
      <c r="Z9" s="1160"/>
      <c r="AA9" s="1868"/>
      <c r="AB9" s="1868"/>
      <c r="AC9" s="1868"/>
      <c r="AD9" s="1868"/>
      <c r="AE9" s="1868"/>
      <c r="AF9" s="1868"/>
      <c r="AG9" s="1868"/>
    </row>
    <row r="10" spans="1:33" ht="21" x14ac:dyDescent="0.2">
      <c r="B10" s="943"/>
      <c r="C10" s="436"/>
      <c r="D10" s="532"/>
      <c r="E10" s="53" t="s">
        <v>1262</v>
      </c>
      <c r="F10" s="1171">
        <f>SUM(F7:F9)</f>
        <v>0.14285714285714288</v>
      </c>
      <c r="G10" s="1734" t="s">
        <v>1262</v>
      </c>
      <c r="H10" s="1738">
        <f>H7</f>
        <v>0.85714285714285721</v>
      </c>
      <c r="I10" s="1739"/>
      <c r="J10" s="1740"/>
      <c r="K10" s="1731"/>
      <c r="L10" s="1732"/>
      <c r="O10" s="1169"/>
      <c r="P10" s="1169"/>
      <c r="Q10" s="1174"/>
      <c r="R10" s="1171" t="s">
        <v>790</v>
      </c>
      <c r="S10" s="1169" t="s">
        <v>791</v>
      </c>
      <c r="T10" s="1163"/>
      <c r="U10" s="1163"/>
      <c r="V10" s="1163"/>
      <c r="W10" s="1163"/>
      <c r="X10" s="1163"/>
      <c r="Y10" s="1163"/>
      <c r="Z10" s="1160"/>
      <c r="AA10" s="1868"/>
      <c r="AB10" s="1868"/>
      <c r="AC10" s="1868"/>
      <c r="AD10" s="1868"/>
      <c r="AE10" s="1868"/>
      <c r="AF10" s="1868"/>
      <c r="AG10" s="1868"/>
    </row>
    <row r="11" spans="1:33" ht="32" x14ac:dyDescent="0.2">
      <c r="B11" s="540" t="s">
        <v>788</v>
      </c>
      <c r="C11" s="539" t="s">
        <v>1252</v>
      </c>
      <c r="D11" s="541" t="s">
        <v>1253</v>
      </c>
      <c r="E11" s="1741" t="s">
        <v>991</v>
      </c>
      <c r="F11" s="1742" t="s">
        <v>1254</v>
      </c>
      <c r="G11" s="1168" t="s">
        <v>994</v>
      </c>
      <c r="H11" s="1743" t="s">
        <v>1254</v>
      </c>
      <c r="I11" s="1744" t="s">
        <v>857</v>
      </c>
      <c r="J11" s="1745" t="s">
        <v>1254</v>
      </c>
      <c r="K11" s="1746" t="s">
        <v>846</v>
      </c>
      <c r="L11" s="1747" t="s">
        <v>1254</v>
      </c>
      <c r="O11" s="1724" t="s">
        <v>1263</v>
      </c>
      <c r="P11" s="1726" t="s">
        <v>1255</v>
      </c>
      <c r="Q11" s="1726"/>
      <c r="R11" s="1725" t="s">
        <v>1257</v>
      </c>
      <c r="S11" s="1748"/>
      <c r="T11" s="1163"/>
      <c r="U11" s="1163"/>
      <c r="V11" s="1163"/>
      <c r="W11" s="1163"/>
      <c r="X11" s="1163"/>
      <c r="Y11" s="1163"/>
      <c r="Z11" s="1160"/>
      <c r="AA11" s="1868"/>
      <c r="AB11" s="1868"/>
      <c r="AC11" s="1868"/>
      <c r="AD11" s="1868"/>
      <c r="AE11" s="1868"/>
      <c r="AF11" s="1868"/>
      <c r="AG11" s="1868"/>
    </row>
    <row r="12" spans="1:33" ht="48" x14ac:dyDescent="0.2">
      <c r="B12" s="944" t="s">
        <v>1259</v>
      </c>
      <c r="C12" s="533">
        <v>0.05</v>
      </c>
      <c r="D12" s="953">
        <f>C12/C14</f>
        <v>0.29411764705882359</v>
      </c>
      <c r="E12" s="956" t="str">
        <f>$O$17</f>
        <v>Kip's Toyland</v>
      </c>
      <c r="F12" s="1749">
        <f>$R$17*D12</f>
        <v>0.1470588235294118</v>
      </c>
      <c r="G12" s="1750" t="s">
        <v>880</v>
      </c>
      <c r="H12" s="1751">
        <f>D13</f>
        <v>0.70588235294117652</v>
      </c>
      <c r="I12" s="1752"/>
      <c r="J12" s="1753"/>
      <c r="K12" s="1754"/>
      <c r="L12" s="1732"/>
      <c r="O12" s="1728" t="s">
        <v>78</v>
      </c>
      <c r="P12" s="1169">
        <v>5000</v>
      </c>
      <c r="Q12" s="1176">
        <v>524000000000</v>
      </c>
      <c r="R12" s="58">
        <v>0</v>
      </c>
      <c r="S12" s="1727">
        <v>0.5</v>
      </c>
      <c r="T12" s="1169"/>
      <c r="U12" s="1163"/>
      <c r="V12" s="1163"/>
      <c r="W12" s="1163"/>
      <c r="X12" s="1163"/>
      <c r="Y12" s="1163"/>
      <c r="Z12" s="1160"/>
      <c r="AA12" s="1868"/>
      <c r="AB12" s="1868"/>
      <c r="AC12" s="1868"/>
      <c r="AD12" s="1868"/>
      <c r="AE12" s="1868"/>
      <c r="AF12" s="1868"/>
      <c r="AG12" s="1868"/>
    </row>
    <row r="13" spans="1:33" ht="32" x14ac:dyDescent="0.2">
      <c r="B13" s="945" t="s">
        <v>1260</v>
      </c>
      <c r="C13" s="534">
        <v>0.12</v>
      </c>
      <c r="D13" s="954">
        <f>C13/C14</f>
        <v>0.70588235294117652</v>
      </c>
      <c r="E13" s="956" t="str">
        <f>$O$18</f>
        <v>The Toy Maven - Preston Hollow</v>
      </c>
      <c r="F13" s="1749">
        <f>$R$18*D12</f>
        <v>0.11764705882352944</v>
      </c>
      <c r="G13" s="1169"/>
      <c r="H13" s="1733"/>
      <c r="I13" s="1729"/>
      <c r="J13" s="1731"/>
      <c r="K13" s="1754"/>
      <c r="L13" s="1732"/>
      <c r="O13" s="1728" t="s">
        <v>79</v>
      </c>
      <c r="P13" s="1169">
        <v>2000</v>
      </c>
      <c r="Q13" s="1755">
        <v>94000000000</v>
      </c>
      <c r="R13" s="58">
        <v>1</v>
      </c>
      <c r="S13" s="1727">
        <v>0.4</v>
      </c>
      <c r="T13" s="1169"/>
      <c r="U13" s="1163"/>
      <c r="V13" s="1163"/>
      <c r="W13" s="1163"/>
      <c r="X13" s="1163"/>
      <c r="Y13" s="1163"/>
      <c r="Z13" s="1160"/>
      <c r="AA13" s="1868"/>
      <c r="AB13" s="1868"/>
      <c r="AC13" s="1868"/>
      <c r="AD13" s="1868"/>
      <c r="AE13" s="1868"/>
      <c r="AF13" s="1868"/>
      <c r="AG13" s="1868"/>
    </row>
    <row r="14" spans="1:33" ht="22" thickBot="1" x14ac:dyDescent="0.25">
      <c r="B14" s="945" t="s">
        <v>1261</v>
      </c>
      <c r="C14" s="535">
        <f>SUM(C12:C13)</f>
        <v>0.16999999999999998</v>
      </c>
      <c r="D14" s="954">
        <f>C14/C14</f>
        <v>1</v>
      </c>
      <c r="E14" s="956" t="str">
        <f>$O$19</f>
        <v>Toys That Teach</v>
      </c>
      <c r="F14" s="1749">
        <f>$R$19*D12</f>
        <v>2.9411764705882359E-2</v>
      </c>
      <c r="G14" s="1169"/>
      <c r="H14" s="1733"/>
      <c r="I14" s="1729"/>
      <c r="J14" s="1731"/>
      <c r="K14" s="1754"/>
      <c r="L14" s="1732"/>
      <c r="O14" s="1734" t="s">
        <v>80</v>
      </c>
      <c r="P14" s="1756">
        <v>1100</v>
      </c>
      <c r="Q14" s="1757">
        <v>16000000000</v>
      </c>
      <c r="R14" s="436">
        <v>0</v>
      </c>
      <c r="S14" s="1738">
        <v>0.1</v>
      </c>
      <c r="T14" s="1169"/>
      <c r="U14" s="1163"/>
      <c r="V14" s="1163"/>
      <c r="W14" s="1163"/>
      <c r="X14" s="1163"/>
      <c r="Y14" s="1163"/>
      <c r="Z14" s="1160"/>
      <c r="AA14" s="1868"/>
      <c r="AB14" s="1868"/>
      <c r="AC14" s="1868"/>
      <c r="AD14" s="1868"/>
      <c r="AE14" s="1868"/>
      <c r="AF14" s="1868"/>
      <c r="AG14" s="1868"/>
    </row>
    <row r="15" spans="1:33" ht="22" thickBot="1" x14ac:dyDescent="0.25">
      <c r="B15" s="946"/>
      <c r="C15" s="532"/>
      <c r="D15" s="955"/>
      <c r="E15" s="957"/>
      <c r="F15" s="1758">
        <f>SUM(F12:F14)</f>
        <v>0.29411764705882359</v>
      </c>
      <c r="G15" s="1734" t="s">
        <v>1262</v>
      </c>
      <c r="H15" s="1738">
        <f>H12</f>
        <v>0.70588235294117652</v>
      </c>
      <c r="I15" s="1739"/>
      <c r="J15" s="1759"/>
      <c r="K15" s="1754"/>
      <c r="L15" s="1732"/>
      <c r="O15" s="1760"/>
      <c r="P15" s="1174"/>
      <c r="Q15" s="1174"/>
      <c r="R15" s="1749"/>
      <c r="S15" s="1169"/>
      <c r="T15" s="1163"/>
      <c r="U15" s="1163"/>
      <c r="V15" s="1163"/>
      <c r="W15" s="1163"/>
      <c r="X15" s="1163"/>
      <c r="Y15" s="1163"/>
      <c r="Z15" s="1160"/>
      <c r="AA15" s="1868"/>
      <c r="AB15" s="1868"/>
      <c r="AC15" s="1868"/>
      <c r="AD15" s="1868"/>
      <c r="AE15" s="1868"/>
      <c r="AF15" s="1868"/>
      <c r="AG15" s="1868"/>
    </row>
    <row r="16" spans="1:33" ht="33" thickBot="1" x14ac:dyDescent="0.25">
      <c r="B16" s="947" t="s">
        <v>789</v>
      </c>
      <c r="C16" s="540" t="s">
        <v>1252</v>
      </c>
      <c r="D16" s="541" t="s">
        <v>1253</v>
      </c>
      <c r="E16" s="1761" t="s">
        <v>991</v>
      </c>
      <c r="F16" s="1762" t="s">
        <v>1254</v>
      </c>
      <c r="G16" s="1763" t="s">
        <v>994</v>
      </c>
      <c r="H16" s="1762" t="s">
        <v>1254</v>
      </c>
      <c r="I16" s="1764" t="s">
        <v>857</v>
      </c>
      <c r="J16" s="1765" t="s">
        <v>1254</v>
      </c>
      <c r="K16" s="1766" t="s">
        <v>846</v>
      </c>
      <c r="L16" s="1747" t="s">
        <v>1254</v>
      </c>
      <c r="O16" s="1767" t="s">
        <v>991</v>
      </c>
      <c r="P16" s="1768" t="s">
        <v>1264</v>
      </c>
      <c r="Q16" s="1769" t="s">
        <v>1265</v>
      </c>
      <c r="R16" s="1770" t="s">
        <v>1257</v>
      </c>
      <c r="S16" s="1169"/>
      <c r="T16" s="1163"/>
      <c r="U16" s="1163"/>
      <c r="V16" s="1163"/>
      <c r="W16" s="1163"/>
      <c r="X16" s="1163"/>
      <c r="Y16" s="1163"/>
      <c r="Z16" s="1160"/>
      <c r="AA16" s="1868"/>
      <c r="AB16" s="1868"/>
      <c r="AC16" s="1868"/>
      <c r="AD16" s="1868"/>
      <c r="AE16" s="1868"/>
      <c r="AF16" s="1868"/>
      <c r="AG16" s="1868"/>
    </row>
    <row r="17" spans="2:33" ht="48" x14ac:dyDescent="0.2">
      <c r="B17" s="948" t="s">
        <v>1259</v>
      </c>
      <c r="C17" s="30">
        <v>0.06</v>
      </c>
      <c r="D17" s="58">
        <f>C17/C20</f>
        <v>0.27272727272727271</v>
      </c>
      <c r="E17" s="942" t="str">
        <f>$O$17</f>
        <v>Kip's Toyland</v>
      </c>
      <c r="F17" s="1751">
        <f>$R$17*D17</f>
        <v>0.13636363636363635</v>
      </c>
      <c r="G17" s="1169" t="s">
        <v>880</v>
      </c>
      <c r="H17" s="1171">
        <f>D18</f>
        <v>0.54545454545454541</v>
      </c>
      <c r="I17" s="1771" t="s">
        <v>74</v>
      </c>
      <c r="J17" s="1772">
        <f>$D$19*R7</f>
        <v>0</v>
      </c>
      <c r="K17" s="1731"/>
      <c r="L17" s="1732"/>
      <c r="O17" s="956" t="s">
        <v>70</v>
      </c>
      <c r="P17" s="53" t="s">
        <v>1266</v>
      </c>
      <c r="Q17" s="1177">
        <v>58</v>
      </c>
      <c r="R17" s="1749">
        <v>0.5</v>
      </c>
      <c r="S17" s="56"/>
      <c r="T17" s="1163"/>
      <c r="U17" s="1163"/>
      <c r="V17" s="1163"/>
      <c r="W17" s="1163"/>
      <c r="X17" s="1163"/>
      <c r="Y17" s="1163"/>
      <c r="Z17" s="1160"/>
      <c r="AA17" s="1868"/>
      <c r="AB17" s="1868"/>
      <c r="AC17" s="1868"/>
      <c r="AD17" s="1868"/>
      <c r="AE17" s="1868"/>
      <c r="AF17" s="1868"/>
      <c r="AG17" s="1868"/>
    </row>
    <row r="18" spans="2:33" ht="32" x14ac:dyDescent="0.2">
      <c r="B18" s="948" t="s">
        <v>1260</v>
      </c>
      <c r="C18" s="30">
        <v>0.12</v>
      </c>
      <c r="D18" s="58">
        <f>C18/C20</f>
        <v>0.54545454545454541</v>
      </c>
      <c r="E18" s="942" t="str">
        <f>$O$18</f>
        <v>The Toy Maven - Preston Hollow</v>
      </c>
      <c r="F18" s="1727">
        <f>$R$18*D17</f>
        <v>0.10909090909090909</v>
      </c>
      <c r="G18" s="1169"/>
      <c r="H18" s="1169"/>
      <c r="I18" s="1760" t="s">
        <v>75</v>
      </c>
      <c r="J18" s="1772">
        <f>$D$19*R8</f>
        <v>0.18181818181818182</v>
      </c>
      <c r="K18" s="1731"/>
      <c r="L18" s="1732"/>
      <c r="O18" s="956" t="s">
        <v>69</v>
      </c>
      <c r="P18" t="s">
        <v>1267</v>
      </c>
      <c r="Q18" s="1177">
        <v>27</v>
      </c>
      <c r="R18" s="1749">
        <v>0.4</v>
      </c>
      <c r="S18" s="56"/>
    </row>
    <row r="19" spans="2:33" ht="32" x14ac:dyDescent="0.2">
      <c r="B19" s="948" t="s">
        <v>1268</v>
      </c>
      <c r="C19" s="30">
        <v>0.04</v>
      </c>
      <c r="D19" s="58">
        <f>C19/C20</f>
        <v>0.18181818181818182</v>
      </c>
      <c r="E19" s="942" t="str">
        <f>$O$19</f>
        <v>Toys That Teach</v>
      </c>
      <c r="F19" s="1727">
        <f>$R$19*D17</f>
        <v>2.7272727272727271E-2</v>
      </c>
      <c r="G19" s="1169"/>
      <c r="H19" s="1169"/>
      <c r="I19" s="1760" t="s">
        <v>76</v>
      </c>
      <c r="J19" s="1772">
        <f>$D$19*R9</f>
        <v>0</v>
      </c>
      <c r="K19" s="1731"/>
      <c r="L19" s="1732"/>
      <c r="O19" s="957" t="s">
        <v>1269</v>
      </c>
      <c r="P19" s="578" t="s">
        <v>1270</v>
      </c>
      <c r="Q19" s="1773">
        <v>7</v>
      </c>
      <c r="R19" s="1758">
        <v>0.1</v>
      </c>
      <c r="S19" s="56"/>
    </row>
    <row r="20" spans="2:33" ht="17" thickBot="1" x14ac:dyDescent="0.25">
      <c r="B20" s="949" t="s">
        <v>1261</v>
      </c>
      <c r="C20" s="126">
        <f>SUM(C17:C19)</f>
        <v>0.22</v>
      </c>
      <c r="D20" s="436">
        <f>C20/C20</f>
        <v>1</v>
      </c>
      <c r="E20" s="943"/>
      <c r="F20" s="1738">
        <f>SUM(F17:F19)</f>
        <v>0.27272727272727271</v>
      </c>
      <c r="G20" s="1734" t="s">
        <v>1262</v>
      </c>
      <c r="H20" s="1737">
        <f>H17</f>
        <v>0.54545454545454541</v>
      </c>
      <c r="I20" s="1760"/>
      <c r="J20" s="1749">
        <f>SUM(J17:J19)</f>
        <v>0.18181818181818182</v>
      </c>
      <c r="K20" s="1774"/>
      <c r="L20" s="1775"/>
    </row>
    <row r="21" spans="2:33" ht="33" thickBot="1" x14ac:dyDescent="0.25">
      <c r="B21" s="950" t="s">
        <v>790</v>
      </c>
      <c r="C21" s="542" t="s">
        <v>1252</v>
      </c>
      <c r="D21" s="497" t="s">
        <v>1253</v>
      </c>
      <c r="E21" s="1776" t="s">
        <v>991</v>
      </c>
      <c r="F21" s="1777" t="s">
        <v>1254</v>
      </c>
      <c r="G21" s="1763" t="s">
        <v>994</v>
      </c>
      <c r="H21" s="1763" t="s">
        <v>1254</v>
      </c>
      <c r="I21" s="1778" t="s">
        <v>857</v>
      </c>
      <c r="J21" s="1779" t="s">
        <v>1254</v>
      </c>
      <c r="K21" s="1780" t="s">
        <v>846</v>
      </c>
      <c r="L21" s="1781" t="s">
        <v>1254</v>
      </c>
      <c r="M21" s="1169"/>
      <c r="N21" s="1169"/>
      <c r="O21" s="1169"/>
      <c r="P21" s="1169"/>
      <c r="Q21" s="1169"/>
    </row>
    <row r="22" spans="2:33" ht="48" x14ac:dyDescent="0.2">
      <c r="B22" s="948" t="s">
        <v>1259</v>
      </c>
      <c r="C22" s="960">
        <v>0</v>
      </c>
      <c r="D22" s="58">
        <f>C22/C26</f>
        <v>0</v>
      </c>
      <c r="E22" s="1754"/>
      <c r="F22" s="1730"/>
      <c r="G22" s="1169" t="s">
        <v>880</v>
      </c>
      <c r="H22" s="1171">
        <f>D23</f>
        <v>0.44444444444444442</v>
      </c>
      <c r="I22" s="1760" t="s">
        <v>74</v>
      </c>
      <c r="J22" s="1171">
        <f>R7*$D$24</f>
        <v>0</v>
      </c>
      <c r="K22" s="1782" t="s">
        <v>78</v>
      </c>
      <c r="L22" s="1783">
        <f>R12*$D$25</f>
        <v>0</v>
      </c>
      <c r="P22" s="1169"/>
      <c r="Q22" s="1169"/>
    </row>
    <row r="23" spans="2:33" ht="32" x14ac:dyDescent="0.2">
      <c r="B23" s="948" t="s">
        <v>1260</v>
      </c>
      <c r="C23" s="30">
        <v>0.12</v>
      </c>
      <c r="D23" s="58">
        <f>C23/C26</f>
        <v>0.44444444444444442</v>
      </c>
      <c r="E23" s="1754"/>
      <c r="F23" s="1730"/>
      <c r="G23" s="1169"/>
      <c r="H23" s="1169"/>
      <c r="I23" s="1760" t="s">
        <v>75</v>
      </c>
      <c r="J23" s="1171">
        <f>R8*$D$24</f>
        <v>0.22222222222222221</v>
      </c>
      <c r="K23" s="1784" t="s">
        <v>79</v>
      </c>
      <c r="L23" s="1783">
        <f>R13*$D$25</f>
        <v>0.33333333333333331</v>
      </c>
      <c r="P23" s="1169"/>
    </row>
    <row r="24" spans="2:33" ht="32" x14ac:dyDescent="0.2">
      <c r="B24" s="948" t="s">
        <v>1268</v>
      </c>
      <c r="C24" s="30">
        <v>0.06</v>
      </c>
      <c r="D24" s="58">
        <f>C24/C26</f>
        <v>0.22222222222222221</v>
      </c>
      <c r="E24" s="1754"/>
      <c r="F24" s="1730"/>
      <c r="G24" s="1169"/>
      <c r="H24" s="1169"/>
      <c r="I24" s="1760" t="s">
        <v>76</v>
      </c>
      <c r="J24" s="1171">
        <f>R9*$D$24</f>
        <v>0</v>
      </c>
      <c r="K24" s="1784" t="s">
        <v>80</v>
      </c>
      <c r="L24" s="1783">
        <f>R14*$D$25</f>
        <v>0</v>
      </c>
      <c r="O24" s="1169"/>
      <c r="P24" s="1169"/>
      <c r="Q24" s="1169"/>
      <c r="R24" s="1169"/>
      <c r="S24" s="1169"/>
    </row>
    <row r="25" spans="2:33" ht="32" x14ac:dyDescent="0.2">
      <c r="B25" s="948" t="s">
        <v>1271</v>
      </c>
      <c r="C25" s="30">
        <v>0.09</v>
      </c>
      <c r="D25" s="58">
        <f>C25/C26</f>
        <v>0.33333333333333331</v>
      </c>
      <c r="E25" s="1754"/>
      <c r="F25" s="1730"/>
      <c r="G25" s="1169"/>
      <c r="H25" s="1169"/>
      <c r="I25" s="1760"/>
      <c r="K25" s="1784"/>
      <c r="L25" s="149"/>
      <c r="M25" s="1169"/>
      <c r="N25" s="1169"/>
      <c r="O25" s="1169"/>
      <c r="P25" s="1169"/>
      <c r="Q25" s="1172"/>
      <c r="R25" s="1171"/>
      <c r="S25" s="1171"/>
      <c r="T25" s="1171"/>
    </row>
    <row r="26" spans="2:33" ht="17" thickBot="1" x14ac:dyDescent="0.25">
      <c r="B26" s="949" t="s">
        <v>1261</v>
      </c>
      <c r="C26" s="959">
        <f>SUM(C22:C25)</f>
        <v>0.27</v>
      </c>
      <c r="D26" s="436">
        <f>SUM(D22:D25)</f>
        <v>1</v>
      </c>
      <c r="E26" s="1785"/>
      <c r="F26" s="1740"/>
      <c r="G26" s="1734" t="s">
        <v>1262</v>
      </c>
      <c r="H26" s="1737">
        <f>H22</f>
        <v>0.44444444444444442</v>
      </c>
      <c r="I26" s="1786" t="s">
        <v>1262</v>
      </c>
      <c r="J26" s="1171">
        <f>SUM(J22:J24)</f>
        <v>0.22222222222222221</v>
      </c>
      <c r="K26" s="1784" t="s">
        <v>1262</v>
      </c>
      <c r="L26" s="1772">
        <f>SUM(L22:L24)</f>
        <v>0.33333333333333331</v>
      </c>
      <c r="M26" s="1169"/>
      <c r="N26" s="1169"/>
      <c r="O26" s="1169"/>
      <c r="P26" s="1169"/>
      <c r="Q26" s="1172"/>
      <c r="R26" s="1171"/>
      <c r="S26" s="1171"/>
      <c r="T26" s="1171"/>
    </row>
    <row r="27" spans="2:33" ht="33" thickBot="1" x14ac:dyDescent="0.25">
      <c r="B27" s="950" t="s">
        <v>791</v>
      </c>
      <c r="C27" s="542" t="s">
        <v>1252</v>
      </c>
      <c r="D27" s="497" t="s">
        <v>1253</v>
      </c>
      <c r="E27" s="1776" t="s">
        <v>991</v>
      </c>
      <c r="F27" s="1777" t="s">
        <v>1254</v>
      </c>
      <c r="G27" s="1763" t="s">
        <v>994</v>
      </c>
      <c r="H27" s="1763" t="s">
        <v>1254</v>
      </c>
      <c r="I27" s="1787" t="s">
        <v>857</v>
      </c>
      <c r="J27" s="1788" t="s">
        <v>1254</v>
      </c>
      <c r="K27" s="1789" t="s">
        <v>846</v>
      </c>
      <c r="L27" s="1790" t="s">
        <v>1254</v>
      </c>
      <c r="M27" s="1169"/>
      <c r="N27" s="1169"/>
      <c r="O27" s="1169"/>
      <c r="P27" s="1169"/>
      <c r="Q27" s="1173"/>
      <c r="R27" s="1171"/>
      <c r="S27" s="1171"/>
      <c r="T27" s="1171"/>
    </row>
    <row r="28" spans="2:33" ht="48" x14ac:dyDescent="0.2">
      <c r="B28" s="948" t="s">
        <v>1259</v>
      </c>
      <c r="C28" s="960">
        <v>0</v>
      </c>
      <c r="D28" s="58">
        <f>C28/C32</f>
        <v>0</v>
      </c>
      <c r="E28" s="1754"/>
      <c r="F28" s="1730"/>
      <c r="G28" s="1169" t="s">
        <v>880</v>
      </c>
      <c r="H28" s="1171">
        <f>D29</f>
        <v>0.36363636363636359</v>
      </c>
      <c r="I28" s="1760" t="s">
        <v>74</v>
      </c>
      <c r="J28" s="1171">
        <f>R7*$D$30</f>
        <v>0</v>
      </c>
      <c r="K28" s="1728" t="s">
        <v>78</v>
      </c>
      <c r="L28" s="1727">
        <f>R12*$D$31</f>
        <v>0</v>
      </c>
      <c r="M28" s="1169"/>
      <c r="N28" s="1169"/>
      <c r="O28" s="1169"/>
      <c r="P28" s="1169"/>
      <c r="Q28" s="1174"/>
      <c r="R28" s="1171"/>
      <c r="S28" s="1169"/>
    </row>
    <row r="29" spans="2:33" ht="32" x14ac:dyDescent="0.2">
      <c r="B29" s="948" t="s">
        <v>1260</v>
      </c>
      <c r="C29" s="30">
        <v>0.12</v>
      </c>
      <c r="D29" s="58">
        <f>C29/C32</f>
        <v>0.36363636363636359</v>
      </c>
      <c r="E29" s="1754"/>
      <c r="F29" s="1730"/>
      <c r="G29" s="1169"/>
      <c r="H29" s="1169"/>
      <c r="I29" s="1760" t="s">
        <v>75</v>
      </c>
      <c r="J29" s="1171">
        <f>R8*$D$30</f>
        <v>0.21212121212121213</v>
      </c>
      <c r="K29" s="1728" t="s">
        <v>79</v>
      </c>
      <c r="L29" s="1727">
        <f>R13*$D$31</f>
        <v>0.42424242424242425</v>
      </c>
      <c r="M29" s="1169"/>
      <c r="N29" s="1169"/>
      <c r="O29" s="1175"/>
      <c r="P29" s="1169"/>
      <c r="Q29" s="1169"/>
      <c r="R29" s="1169"/>
      <c r="S29" s="1169"/>
    </row>
    <row r="30" spans="2:33" ht="32" x14ac:dyDescent="0.2">
      <c r="B30" s="948" t="s">
        <v>1268</v>
      </c>
      <c r="C30" s="30">
        <v>7.0000000000000007E-2</v>
      </c>
      <c r="D30" s="58">
        <f>C30/C32</f>
        <v>0.21212121212121213</v>
      </c>
      <c r="E30" s="1754"/>
      <c r="F30" s="1730"/>
      <c r="G30" s="1169"/>
      <c r="H30" s="1169"/>
      <c r="I30" s="1760" t="s">
        <v>76</v>
      </c>
      <c r="J30" s="1171">
        <f>R9*$D$30</f>
        <v>0</v>
      </c>
      <c r="K30" s="1728" t="s">
        <v>80</v>
      </c>
      <c r="L30" s="1727">
        <f>R14*$D$31</f>
        <v>0</v>
      </c>
      <c r="M30" s="1169"/>
      <c r="N30" s="1169"/>
      <c r="O30" s="1169"/>
      <c r="P30" s="1169"/>
      <c r="Q30" s="1176"/>
      <c r="R30" s="58"/>
      <c r="S30" s="1171"/>
    </row>
    <row r="31" spans="2:33" ht="32" x14ac:dyDescent="0.2">
      <c r="B31" s="948" t="s">
        <v>1271</v>
      </c>
      <c r="C31" s="30">
        <v>0.14000000000000001</v>
      </c>
      <c r="D31" s="58">
        <f>C31/C32</f>
        <v>0.42424242424242425</v>
      </c>
      <c r="E31" s="1754"/>
      <c r="F31" s="1730"/>
      <c r="G31" s="1169"/>
      <c r="H31" s="1169"/>
      <c r="I31" s="1760"/>
      <c r="K31" s="1728"/>
      <c r="L31" s="1727"/>
      <c r="M31" s="1169"/>
      <c r="N31" s="1169"/>
      <c r="O31" s="1169"/>
      <c r="P31" s="1169"/>
      <c r="Q31" s="1173"/>
      <c r="R31" s="58"/>
      <c r="S31" s="1171"/>
    </row>
    <row r="32" spans="2:33" ht="17" thickBot="1" x14ac:dyDescent="0.25">
      <c r="B32" s="949" t="s">
        <v>1261</v>
      </c>
      <c r="C32" s="959">
        <f>SUM(C28:C31)</f>
        <v>0.33</v>
      </c>
      <c r="D32" s="436">
        <f>SUM(D28:D31)</f>
        <v>1</v>
      </c>
      <c r="E32" s="1785"/>
      <c r="F32" s="1740"/>
      <c r="G32" s="1735" t="s">
        <v>1262</v>
      </c>
      <c r="H32" s="1737">
        <f>H28</f>
        <v>0.36363636363636359</v>
      </c>
      <c r="I32" s="1791" t="s">
        <v>1262</v>
      </c>
      <c r="J32" s="1792">
        <f>SUM(J28:J30)</f>
        <v>0.21212121212121213</v>
      </c>
      <c r="K32" s="1734"/>
      <c r="L32" s="1738">
        <f>SUM(L28:L31)</f>
        <v>0.42424242424242425</v>
      </c>
      <c r="M32" s="1169"/>
      <c r="N32" s="1169"/>
      <c r="O32" s="1169"/>
      <c r="P32" s="1174"/>
      <c r="Q32" s="1173"/>
      <c r="R32" s="58"/>
      <c r="S32" s="1171"/>
    </row>
    <row r="33" spans="2:19" x14ac:dyDescent="0.2">
      <c r="O33" s="1169"/>
      <c r="P33" s="1174"/>
      <c r="Q33" s="1174"/>
      <c r="R33" s="1171"/>
      <c r="S33" s="1169"/>
    </row>
    <row r="35" spans="2:19" ht="58" customHeight="1" x14ac:dyDescent="0.2">
      <c r="B35" s="1866" t="s">
        <v>1272</v>
      </c>
      <c r="C35" s="1866"/>
      <c r="D35" s="1866"/>
      <c r="E35" s="1866"/>
      <c r="F35" s="1866"/>
      <c r="G35" s="1866"/>
    </row>
  </sheetData>
  <mergeCells count="4">
    <mergeCell ref="B35:G35"/>
    <mergeCell ref="AA5:AE5"/>
    <mergeCell ref="AA6:AG17"/>
    <mergeCell ref="B3:AG3"/>
  </mergeCells>
  <hyperlinks>
    <hyperlink ref="B1" location="Index!A1" display="Back to Index" xr:uid="{5C2A362E-B412-4F15-9494-15C2D5715449}"/>
  </hyperlinks>
  <pageMargins left="0.7" right="0.7" top="0.75" bottom="0.75" header="0.3" footer="0.3"/>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4048B-EACC-F44D-B480-15E55CE10BE5}">
  <sheetPr>
    <tabColor rgb="FF00B0F0"/>
  </sheetPr>
  <dimension ref="B1:X209"/>
  <sheetViews>
    <sheetView showGridLines="0" topLeftCell="A113" zoomScale="50" zoomScaleNormal="85" workbookViewId="0">
      <selection activeCell="D147" sqref="D147"/>
    </sheetView>
  </sheetViews>
  <sheetFormatPr baseColWidth="10" defaultColWidth="11" defaultRowHeight="15" x14ac:dyDescent="0.2"/>
  <cols>
    <col min="1" max="1" width="1.83203125" customWidth="1"/>
    <col min="2" max="2" width="39.6640625" customWidth="1"/>
    <col min="3" max="3" width="27.5" customWidth="1"/>
    <col min="4" max="4" width="41.5" customWidth="1"/>
    <col min="5" max="5" width="47.5" customWidth="1"/>
    <col min="6" max="6" width="45.5" customWidth="1"/>
    <col min="7" max="7" width="20.5" customWidth="1"/>
    <col min="8" max="8" width="35.5" customWidth="1"/>
    <col min="9" max="9" width="28" customWidth="1"/>
    <col min="10" max="10" width="21.5" customWidth="1"/>
    <col min="11" max="11" width="11.83203125" customWidth="1"/>
    <col min="12" max="12" width="11.5" customWidth="1"/>
    <col min="13" max="13" width="8.1640625" customWidth="1"/>
    <col min="14" max="14" width="5.83203125" customWidth="1"/>
    <col min="15" max="15" width="13.5" customWidth="1"/>
    <col min="16" max="16" width="9.5" customWidth="1"/>
    <col min="17" max="17" width="10.5" customWidth="1"/>
    <col min="18" max="18" width="10.83203125" customWidth="1"/>
    <col min="19" max="19" width="9.33203125" customWidth="1"/>
    <col min="21" max="21" width="7.5" customWidth="1"/>
    <col min="22" max="22" width="7.83203125" customWidth="1"/>
    <col min="23" max="23" width="14.83203125" customWidth="1"/>
    <col min="24" max="24" width="17" customWidth="1"/>
  </cols>
  <sheetData>
    <row r="1" spans="2:19" x14ac:dyDescent="0.2">
      <c r="B1" s="56" t="s">
        <v>37</v>
      </c>
    </row>
    <row r="2" spans="2:19" x14ac:dyDescent="0.2">
      <c r="B2" s="56"/>
    </row>
    <row r="3" spans="2:19" x14ac:dyDescent="0.2">
      <c r="B3" s="1440" t="s">
        <v>33</v>
      </c>
      <c r="C3" s="146"/>
      <c r="D3" s="146"/>
      <c r="E3" s="146"/>
      <c r="F3" s="146"/>
      <c r="G3" s="146"/>
      <c r="H3" s="146"/>
      <c r="I3" s="146"/>
      <c r="J3" s="146"/>
      <c r="K3" s="146"/>
      <c r="L3" s="146"/>
      <c r="M3" s="146"/>
      <c r="N3" s="146"/>
      <c r="O3" s="146"/>
      <c r="P3" s="146"/>
      <c r="Q3" s="146"/>
      <c r="R3" s="146"/>
      <c r="S3" s="146"/>
    </row>
    <row r="5" spans="2:19" x14ac:dyDescent="0.2">
      <c r="B5" s="1517" t="s">
        <v>1165</v>
      </c>
      <c r="C5" s="1516"/>
      <c r="D5" s="1516"/>
      <c r="E5" s="1516"/>
      <c r="F5" s="146"/>
      <c r="G5" s="146"/>
      <c r="H5" s="146"/>
      <c r="I5" s="146"/>
      <c r="J5" s="146"/>
      <c r="K5" s="146"/>
      <c r="L5" s="146"/>
      <c r="M5" s="146"/>
      <c r="N5" s="146"/>
      <c r="O5" s="146"/>
      <c r="P5" s="146"/>
      <c r="Q5" s="146"/>
      <c r="R5" s="146"/>
      <c r="S5" s="146"/>
    </row>
    <row r="6" spans="2:19" x14ac:dyDescent="0.2">
      <c r="B6" s="820" t="s">
        <v>1166</v>
      </c>
      <c r="C6" s="820"/>
      <c r="D6" s="820"/>
      <c r="E6" s="820"/>
      <c r="F6" s="1518"/>
      <c r="G6" s="1518"/>
      <c r="H6" s="1518"/>
      <c r="I6" s="1518"/>
      <c r="J6" s="1518"/>
      <c r="K6" s="1518"/>
    </row>
    <row r="7" spans="2:19" ht="19" x14ac:dyDescent="0.25">
      <c r="B7" s="1519" t="s">
        <v>1273</v>
      </c>
      <c r="C7" s="1520"/>
      <c r="D7" s="1519" t="s">
        <v>1274</v>
      </c>
      <c r="E7" s="1520"/>
      <c r="F7" s="1519" t="s">
        <v>1275</v>
      </c>
      <c r="G7" s="1520"/>
      <c r="H7" s="1519" t="s">
        <v>1276</v>
      </c>
      <c r="I7" s="1520"/>
      <c r="J7" s="1519" t="s">
        <v>1277</v>
      </c>
      <c r="K7" s="1521"/>
    </row>
    <row r="8" spans="2:19" x14ac:dyDescent="0.2">
      <c r="B8" s="1522" t="s">
        <v>1278</v>
      </c>
      <c r="C8" s="1523"/>
      <c r="D8" s="1522" t="s">
        <v>1278</v>
      </c>
      <c r="E8" s="1523"/>
      <c r="F8" s="1522" t="s">
        <v>1278</v>
      </c>
      <c r="G8" s="1523"/>
      <c r="H8" s="1522" t="s">
        <v>1278</v>
      </c>
      <c r="I8" s="1523"/>
      <c r="J8" s="1522" t="s">
        <v>1278</v>
      </c>
      <c r="K8" s="1523"/>
    </row>
    <row r="9" spans="2:19" x14ac:dyDescent="0.2">
      <c r="B9" s="1524" t="s">
        <v>1279</v>
      </c>
      <c r="C9" s="1525">
        <v>150</v>
      </c>
      <c r="D9" s="1524" t="s">
        <v>1279</v>
      </c>
      <c r="E9" s="1525">
        <v>150</v>
      </c>
      <c r="F9" s="1524" t="s">
        <v>1279</v>
      </c>
      <c r="G9" s="1525">
        <v>150</v>
      </c>
      <c r="H9" s="1524" t="s">
        <v>1279</v>
      </c>
      <c r="I9" s="1525">
        <v>150</v>
      </c>
      <c r="J9" s="1524" t="s">
        <v>1279</v>
      </c>
      <c r="K9" s="1525">
        <v>150</v>
      </c>
    </row>
    <row r="10" spans="2:19" x14ac:dyDescent="0.2">
      <c r="B10" s="1526" t="s">
        <v>1280</v>
      </c>
      <c r="C10" s="1527">
        <v>10</v>
      </c>
      <c r="D10" s="1526" t="s">
        <v>1280</v>
      </c>
      <c r="E10" s="1527">
        <v>10</v>
      </c>
      <c r="F10" s="1526" t="s">
        <v>1280</v>
      </c>
      <c r="G10" s="1527">
        <v>10</v>
      </c>
      <c r="H10" s="1526" t="s">
        <v>1280</v>
      </c>
      <c r="I10" s="1527">
        <v>10</v>
      </c>
      <c r="J10" s="1526" t="s">
        <v>1280</v>
      </c>
      <c r="K10" s="1527">
        <v>10</v>
      </c>
    </row>
    <row r="11" spans="2:19" x14ac:dyDescent="0.2">
      <c r="B11" s="1526" t="s">
        <v>1281</v>
      </c>
      <c r="C11" s="1527">
        <v>8</v>
      </c>
      <c r="D11" s="1526" t="s">
        <v>1281</v>
      </c>
      <c r="E11" s="1527">
        <v>8</v>
      </c>
      <c r="F11" s="1526" t="s">
        <v>1281</v>
      </c>
      <c r="G11" s="1527">
        <v>8</v>
      </c>
      <c r="H11" s="1526" t="s">
        <v>1281</v>
      </c>
      <c r="I11" s="1527">
        <v>8</v>
      </c>
      <c r="J11" s="1526" t="s">
        <v>1281</v>
      </c>
      <c r="K11" s="1527">
        <v>8</v>
      </c>
    </row>
    <row r="12" spans="2:19" ht="16" thickBot="1" x14ac:dyDescent="0.25">
      <c r="B12" s="1528" t="s">
        <v>1282</v>
      </c>
      <c r="C12" s="1529">
        <v>4</v>
      </c>
      <c r="D12" s="1528" t="s">
        <v>1282</v>
      </c>
      <c r="E12" s="1529">
        <v>4</v>
      </c>
      <c r="F12" s="1528" t="s">
        <v>1282</v>
      </c>
      <c r="G12" s="1529">
        <v>5</v>
      </c>
      <c r="H12" s="1528" t="s">
        <v>1282</v>
      </c>
      <c r="I12" s="1529">
        <v>6</v>
      </c>
      <c r="J12" s="1528" t="s">
        <v>1282</v>
      </c>
      <c r="K12" s="1529">
        <v>7</v>
      </c>
    </row>
    <row r="13" spans="2:19" x14ac:dyDescent="0.2">
      <c r="B13" s="1526" t="s">
        <v>1283</v>
      </c>
      <c r="C13" s="1525">
        <f>PRODUCT(C9:C12)</f>
        <v>48000</v>
      </c>
      <c r="D13" s="1526" t="s">
        <v>1284</v>
      </c>
      <c r="E13" s="1525">
        <f>PRODUCT(E9:E12)</f>
        <v>48000</v>
      </c>
      <c r="F13" s="1526" t="s">
        <v>1283</v>
      </c>
      <c r="G13" s="1525">
        <f>PRODUCT(G9:G12)</f>
        <v>60000</v>
      </c>
      <c r="H13" s="1526" t="s">
        <v>1283</v>
      </c>
      <c r="I13" s="1525">
        <f>PRODUCT(I9:I12)</f>
        <v>72000</v>
      </c>
      <c r="J13" s="1526" t="s">
        <v>1283</v>
      </c>
      <c r="K13" s="1525">
        <f>PRODUCT(K9:K12)</f>
        <v>84000</v>
      </c>
    </row>
    <row r="14" spans="2:19" x14ac:dyDescent="0.2">
      <c r="B14" s="1526" t="s">
        <v>1285</v>
      </c>
      <c r="C14" s="1530">
        <v>4.0000000000000002E-4</v>
      </c>
      <c r="D14" s="1526" t="s">
        <v>1285</v>
      </c>
      <c r="E14" s="1530">
        <v>4.0000000000000002E-4</v>
      </c>
      <c r="F14" s="1526" t="s">
        <v>1285</v>
      </c>
      <c r="G14" s="1530">
        <v>4.0000000000000002E-4</v>
      </c>
      <c r="H14" s="1526" t="s">
        <v>1285</v>
      </c>
      <c r="I14" s="1530">
        <v>4.0000000000000002E-4</v>
      </c>
      <c r="J14" s="1526" t="s">
        <v>1285</v>
      </c>
      <c r="K14" s="1530">
        <v>4.0000000000000002E-4</v>
      </c>
    </row>
    <row r="15" spans="2:19" ht="16" thickBot="1" x14ac:dyDescent="0.25">
      <c r="B15" s="1531">
        <v>1000</v>
      </c>
      <c r="C15" s="1532">
        <v>1000</v>
      </c>
      <c r="D15" s="1531">
        <v>1000</v>
      </c>
      <c r="E15" s="1532">
        <v>1000</v>
      </c>
      <c r="F15" s="1531">
        <v>1000</v>
      </c>
      <c r="G15" s="1532">
        <v>1000</v>
      </c>
      <c r="H15" s="1531">
        <v>1000</v>
      </c>
      <c r="I15" s="1532">
        <v>1000</v>
      </c>
      <c r="J15" s="1531">
        <v>1000</v>
      </c>
      <c r="K15" s="1532">
        <v>1000</v>
      </c>
    </row>
    <row r="16" spans="2:19" x14ac:dyDescent="0.2">
      <c r="B16" s="1533" t="s">
        <v>1286</v>
      </c>
      <c r="C16" s="1534">
        <f>C13*C14/C15</f>
        <v>1.9199999999999998E-2</v>
      </c>
      <c r="D16" s="1533" t="s">
        <v>1286</v>
      </c>
      <c r="E16" s="1534">
        <f>E13*E14/E15</f>
        <v>1.9199999999999998E-2</v>
      </c>
      <c r="F16" s="1533" t="s">
        <v>1286</v>
      </c>
      <c r="G16" s="1534">
        <f>G13*G14/G15</f>
        <v>2.4E-2</v>
      </c>
      <c r="H16" s="1533" t="s">
        <v>1286</v>
      </c>
      <c r="I16" s="1534">
        <f>I13*I14/I15</f>
        <v>2.8799999999999999E-2</v>
      </c>
      <c r="J16" s="1533" t="s">
        <v>1286</v>
      </c>
      <c r="K16" s="1534">
        <f>K13*K14/K15</f>
        <v>3.3600000000000005E-2</v>
      </c>
    </row>
    <row r="17" spans="2:24" x14ac:dyDescent="0.2">
      <c r="B17" s="1526" t="s">
        <v>1287</v>
      </c>
      <c r="C17" s="1535">
        <f>IF(C16&gt;0.02,0.02,C16)</f>
        <v>1.9199999999999998E-2</v>
      </c>
      <c r="D17" s="1526" t="s">
        <v>1287</v>
      </c>
      <c r="E17" s="1535">
        <f>IF(E16&gt;0.02,0.02,E16)</f>
        <v>1.9199999999999998E-2</v>
      </c>
      <c r="F17" s="1536" t="s">
        <v>1288</v>
      </c>
      <c r="G17" s="1537">
        <f>IF(G16&gt;0.04,0.04,G16)</f>
        <v>2.4E-2</v>
      </c>
      <c r="H17" s="1536" t="s">
        <v>1288</v>
      </c>
      <c r="I17" s="1537">
        <f>IF(I16&gt;0.04,0.04,I16)</f>
        <v>2.8799999999999999E-2</v>
      </c>
      <c r="J17" s="1536" t="s">
        <v>1288</v>
      </c>
      <c r="K17" s="1537">
        <f>IF(K16&gt;0.04,0.04,K16)</f>
        <v>3.3600000000000005E-2</v>
      </c>
    </row>
    <row r="18" spans="2:24" ht="16" thickBot="1" x14ac:dyDescent="0.25"/>
    <row r="19" spans="2:24" ht="19" x14ac:dyDescent="0.25">
      <c r="B19" s="1538" t="s">
        <v>1289</v>
      </c>
      <c r="C19" s="1539"/>
      <c r="D19" s="1540"/>
      <c r="E19" s="1541"/>
      <c r="F19" s="1542"/>
      <c r="G19" s="1543"/>
      <c r="H19" s="1538" t="s">
        <v>1290</v>
      </c>
      <c r="I19" s="1539"/>
      <c r="J19" s="1540"/>
      <c r="K19" s="1541"/>
      <c r="L19" s="1542"/>
      <c r="M19" s="1543"/>
      <c r="N19" s="1538" t="s">
        <v>1291</v>
      </c>
      <c r="O19" s="1539"/>
      <c r="P19" s="1544"/>
      <c r="Q19" s="1545"/>
      <c r="R19" s="1546"/>
      <c r="S19" s="1547"/>
    </row>
    <row r="20" spans="2:24" x14ac:dyDescent="0.2">
      <c r="B20" s="1548" t="s">
        <v>1292</v>
      </c>
      <c r="C20" s="1549"/>
      <c r="D20" s="1550" t="s">
        <v>1293</v>
      </c>
      <c r="E20" s="1551"/>
      <c r="F20" s="1550" t="s">
        <v>1294</v>
      </c>
      <c r="G20" s="1552"/>
      <c r="H20" s="1548" t="s">
        <v>1292</v>
      </c>
      <c r="I20" s="1549"/>
      <c r="J20" s="1550" t="s">
        <v>1293</v>
      </c>
      <c r="K20" s="1551"/>
      <c r="L20" s="1550" t="s">
        <v>1294</v>
      </c>
      <c r="M20" s="1552"/>
      <c r="N20" s="1548" t="s">
        <v>1292</v>
      </c>
      <c r="O20" s="1549"/>
      <c r="P20" s="1550" t="s">
        <v>1293</v>
      </c>
      <c r="Q20" s="1551"/>
      <c r="R20" s="1550" t="s">
        <v>1294</v>
      </c>
      <c r="S20" s="1552"/>
    </row>
    <row r="21" spans="2:24" x14ac:dyDescent="0.2">
      <c r="B21" s="1553" t="s">
        <v>1295</v>
      </c>
      <c r="C21" s="1554">
        <v>2295000</v>
      </c>
      <c r="D21" s="1526" t="s">
        <v>1296</v>
      </c>
      <c r="E21" s="1555">
        <f>C28</f>
        <v>4</v>
      </c>
      <c r="F21" s="1524" t="s">
        <v>1297</v>
      </c>
      <c r="G21" s="1556">
        <f>C24</f>
        <v>20000</v>
      </c>
      <c r="H21" s="1553" t="s">
        <v>1295</v>
      </c>
      <c r="I21" s="1554">
        <v>2295000</v>
      </c>
      <c r="J21" s="1526" t="s">
        <v>1296</v>
      </c>
      <c r="K21" s="1555">
        <f>I28</f>
        <v>4</v>
      </c>
      <c r="L21" s="1524" t="s">
        <v>1298</v>
      </c>
      <c r="M21" s="1556">
        <f>I24</f>
        <v>20000</v>
      </c>
      <c r="N21" s="1553" t="s">
        <v>1295</v>
      </c>
      <c r="O21" s="1554">
        <v>2295000</v>
      </c>
      <c r="P21" s="1526" t="s">
        <v>1299</v>
      </c>
      <c r="Q21" s="1555">
        <f>O28</f>
        <v>4</v>
      </c>
      <c r="R21" s="1524" t="s">
        <v>1298</v>
      </c>
      <c r="S21" s="1556">
        <f>O24</f>
        <v>20000</v>
      </c>
    </row>
    <row r="22" spans="2:24" ht="16" thickBot="1" x14ac:dyDescent="0.25">
      <c r="B22" s="1557" t="s">
        <v>1300</v>
      </c>
      <c r="C22" s="1558">
        <f>$V$25*$V$24*$V$23*$X$23*$X$24</f>
        <v>0.22729300999999999</v>
      </c>
      <c r="D22" s="1559" t="s">
        <v>1301</v>
      </c>
      <c r="E22" s="1560">
        <f>C24</f>
        <v>20000</v>
      </c>
      <c r="F22" s="1518" t="s">
        <v>1302</v>
      </c>
      <c r="G22" s="1561">
        <f>C26</f>
        <v>0.36363636363636365</v>
      </c>
      <c r="H22" s="1557" t="s">
        <v>1300</v>
      </c>
      <c r="I22" s="1558">
        <f>$V$25*$V$24*$V$23*$X$23*$X$24</f>
        <v>0.22729300999999999</v>
      </c>
      <c r="J22" s="1559" t="s">
        <v>1301</v>
      </c>
      <c r="K22" s="1560">
        <f>I24</f>
        <v>20000</v>
      </c>
      <c r="L22" s="1518" t="s">
        <v>1302</v>
      </c>
      <c r="M22" s="1561">
        <f>I26</f>
        <v>0.36363636363636365</v>
      </c>
      <c r="N22" s="1557" t="s">
        <v>1300</v>
      </c>
      <c r="O22" s="1558">
        <f>$V$25*$V$24*$V$23*$X$23*$X$24</f>
        <v>0.22729300999999999</v>
      </c>
      <c r="P22" s="1559" t="s">
        <v>1301</v>
      </c>
      <c r="Q22" s="1560">
        <f>O24</f>
        <v>20000</v>
      </c>
      <c r="R22" s="1518" t="s">
        <v>1302</v>
      </c>
      <c r="S22" s="1561">
        <f>O26</f>
        <v>0.36363636363636365</v>
      </c>
      <c r="U22" s="5" t="s">
        <v>1303</v>
      </c>
    </row>
    <row r="23" spans="2:24" ht="112" x14ac:dyDescent="0.2">
      <c r="B23" s="1553" t="s">
        <v>1304</v>
      </c>
      <c r="C23" s="1562">
        <f>PRODUCT(C21:C22)</f>
        <v>521637.45794999995</v>
      </c>
      <c r="D23" s="1524" t="s">
        <v>1305</v>
      </c>
      <c r="E23" s="1563">
        <f>PRODUCT(E21:E22)</f>
        <v>80000</v>
      </c>
      <c r="F23" s="1524" t="s">
        <v>1306</v>
      </c>
      <c r="G23" s="1564">
        <f>C23</f>
        <v>521637.45794999995</v>
      </c>
      <c r="H23" s="1553" t="s">
        <v>1304</v>
      </c>
      <c r="I23" s="1562">
        <f>PRODUCT(I21:I22)</f>
        <v>521637.45794999995</v>
      </c>
      <c r="J23" s="1524" t="s">
        <v>1305</v>
      </c>
      <c r="K23" s="1563">
        <f>PRODUCT(K21:K22)</f>
        <v>80000</v>
      </c>
      <c r="L23" s="1524" t="s">
        <v>1306</v>
      </c>
      <c r="M23" s="1564">
        <f>I23</f>
        <v>521637.45794999995</v>
      </c>
      <c r="N23" s="1553" t="s">
        <v>1304</v>
      </c>
      <c r="O23" s="1562">
        <f>PRODUCT(O21:O22)</f>
        <v>521637.45794999995</v>
      </c>
      <c r="P23" s="1524" t="s">
        <v>1305</v>
      </c>
      <c r="Q23" s="1563">
        <f>PRODUCT(Q21:Q22)</f>
        <v>80000</v>
      </c>
      <c r="R23" s="1524" t="s">
        <v>1306</v>
      </c>
      <c r="S23" s="1564">
        <f>O23</f>
        <v>521637.45794999995</v>
      </c>
      <c r="U23" s="1179" t="s">
        <v>1307</v>
      </c>
      <c r="V23" s="1184">
        <v>0.57999999999999996</v>
      </c>
      <c r="W23" s="1180" t="s">
        <v>1308</v>
      </c>
      <c r="X23" s="1181">
        <v>0.83</v>
      </c>
    </row>
    <row r="24" spans="2:24" ht="81" thickBot="1" x14ac:dyDescent="0.25">
      <c r="B24" s="1553" t="s">
        <v>1309</v>
      </c>
      <c r="C24" s="1565">
        <v>20000</v>
      </c>
      <c r="D24" s="1524"/>
      <c r="E24" s="1555"/>
      <c r="F24" s="1559">
        <v>1000</v>
      </c>
      <c r="G24" s="1566">
        <v>1000</v>
      </c>
      <c r="H24" s="1553" t="s">
        <v>1309</v>
      </c>
      <c r="I24" s="1565">
        <v>20000</v>
      </c>
      <c r="J24" s="1524"/>
      <c r="K24" s="1555"/>
      <c r="L24" s="1559">
        <v>1000</v>
      </c>
      <c r="M24" s="1566">
        <v>1000</v>
      </c>
      <c r="N24" s="1553" t="s">
        <v>1309</v>
      </c>
      <c r="O24" s="1565">
        <v>20000</v>
      </c>
      <c r="P24" s="1524"/>
      <c r="Q24" s="1555"/>
      <c r="R24" s="1559">
        <v>1000</v>
      </c>
      <c r="S24" s="1566">
        <v>1000</v>
      </c>
      <c r="U24" s="942" t="s">
        <v>1310</v>
      </c>
      <c r="V24" s="1185">
        <f>100%-12.5%</f>
        <v>0.875</v>
      </c>
      <c r="W24" s="53" t="s">
        <v>1311</v>
      </c>
      <c r="X24" s="1182">
        <v>0.76</v>
      </c>
    </row>
    <row r="25" spans="2:24" ht="129" thickBot="1" x14ac:dyDescent="0.25">
      <c r="B25" s="1557" t="s">
        <v>1312</v>
      </c>
      <c r="C25" s="1565">
        <v>55000</v>
      </c>
      <c r="D25" s="1524"/>
      <c r="E25" s="1555"/>
      <c r="F25" s="1524" t="s">
        <v>1163</v>
      </c>
      <c r="G25" s="1567">
        <f>G21/(G23*G22)*G24</f>
        <v>105.43721345500435</v>
      </c>
      <c r="H25" s="1557" t="s">
        <v>1312</v>
      </c>
      <c r="I25" s="1565">
        <v>55000</v>
      </c>
      <c r="J25" s="1524"/>
      <c r="K25" s="1555"/>
      <c r="L25" s="1524" t="s">
        <v>1163</v>
      </c>
      <c r="M25" s="1567">
        <f>M21/(M23*M22)*M24</f>
        <v>105.43721345500435</v>
      </c>
      <c r="N25" s="1557" t="s">
        <v>1312</v>
      </c>
      <c r="O25" s="1565">
        <v>55000</v>
      </c>
      <c r="P25" s="1524"/>
      <c r="Q25" s="1555"/>
      <c r="R25" s="1524" t="s">
        <v>1163</v>
      </c>
      <c r="S25" s="1567">
        <f>S21/(S23*S22)*S24</f>
        <v>105.43721345500435</v>
      </c>
      <c r="U25" s="943" t="s">
        <v>1313</v>
      </c>
      <c r="V25" s="1186">
        <f>71%</f>
        <v>0.71</v>
      </c>
      <c r="W25" s="531"/>
      <c r="X25" s="1183"/>
    </row>
    <row r="26" spans="2:24" x14ac:dyDescent="0.2">
      <c r="B26" s="1553" t="s">
        <v>1314</v>
      </c>
      <c r="C26" s="1568">
        <f>C24/C25</f>
        <v>0.36363636363636365</v>
      </c>
      <c r="D26" s="1524"/>
      <c r="E26" s="1555"/>
      <c r="F26" s="1524"/>
      <c r="G26" s="1569"/>
      <c r="H26" s="1553" t="s">
        <v>1314</v>
      </c>
      <c r="I26" s="1568">
        <f>I24/I25</f>
        <v>0.36363636363636365</v>
      </c>
      <c r="J26" s="1524"/>
      <c r="K26" s="1555"/>
      <c r="L26" s="1524"/>
      <c r="M26" s="1569"/>
      <c r="N26" s="1553" t="s">
        <v>1314</v>
      </c>
      <c r="O26" s="1568">
        <f>O24/O25</f>
        <v>0.36363636363636365</v>
      </c>
      <c r="P26" s="1524"/>
      <c r="Q26" s="1555"/>
      <c r="R26" s="1524"/>
      <c r="S26" s="1569"/>
    </row>
    <row r="27" spans="2:24" x14ac:dyDescent="0.2">
      <c r="B27" s="1553" t="s">
        <v>1315</v>
      </c>
      <c r="C27" s="1562">
        <f>C23*C26</f>
        <v>189686.34834545452</v>
      </c>
      <c r="D27" s="1524"/>
      <c r="E27" s="1555"/>
      <c r="F27" s="1524"/>
      <c r="G27" s="1569"/>
      <c r="H27" s="1553" t="s">
        <v>1315</v>
      </c>
      <c r="I27" s="1562">
        <f>I23*I26</f>
        <v>189686.34834545452</v>
      </c>
      <c r="J27" s="1524"/>
      <c r="K27" s="1555"/>
      <c r="L27" s="1524"/>
      <c r="M27" s="1569"/>
      <c r="N27" s="1553" t="s">
        <v>1315</v>
      </c>
      <c r="O27" s="1562">
        <f>O23*O26</f>
        <v>189686.34834545452</v>
      </c>
      <c r="P27" s="1524"/>
      <c r="Q27" s="1555"/>
      <c r="R27" s="1524"/>
      <c r="S27" s="1569"/>
    </row>
    <row r="28" spans="2:24" ht="16" thickBot="1" x14ac:dyDescent="0.25">
      <c r="B28" s="1557" t="s">
        <v>1316</v>
      </c>
      <c r="C28" s="1570">
        <v>4</v>
      </c>
      <c r="D28" s="1524"/>
      <c r="E28" s="1555"/>
      <c r="F28" s="1524"/>
      <c r="G28" s="1569"/>
      <c r="H28" s="1557" t="s">
        <v>1316</v>
      </c>
      <c r="I28" s="1570">
        <v>4</v>
      </c>
      <c r="J28" s="1524"/>
      <c r="K28" s="1555"/>
      <c r="L28" s="1524"/>
      <c r="M28" s="1569"/>
      <c r="N28" s="1557" t="s">
        <v>1316</v>
      </c>
      <c r="O28" s="1570">
        <v>4</v>
      </c>
      <c r="P28" s="1524"/>
      <c r="Q28" s="1555"/>
      <c r="R28" s="1524"/>
      <c r="S28" s="1569"/>
    </row>
    <row r="29" spans="2:24" x14ac:dyDescent="0.2">
      <c r="B29" s="1553" t="s">
        <v>1317</v>
      </c>
      <c r="C29" s="1571">
        <f>C27*C28*4</f>
        <v>3034981.5735272723</v>
      </c>
      <c r="D29" s="1524"/>
      <c r="E29" s="1555"/>
      <c r="F29" s="1524"/>
      <c r="G29" s="1569"/>
      <c r="H29" s="1553" t="s">
        <v>1317</v>
      </c>
      <c r="I29" s="1571">
        <f>I27*I28*4</f>
        <v>3034981.5735272723</v>
      </c>
      <c r="J29" s="1524"/>
      <c r="K29" s="1555"/>
      <c r="L29" s="1524"/>
      <c r="M29" s="1569"/>
      <c r="N29" s="1553" t="s">
        <v>1317</v>
      </c>
      <c r="O29" s="1571">
        <f>O27*O28*4</f>
        <v>3034981.5735272723</v>
      </c>
      <c r="P29" s="1524"/>
      <c r="Q29" s="1555"/>
      <c r="R29" s="1524"/>
      <c r="S29" s="1569"/>
    </row>
    <row r="30" spans="2:24" ht="16" thickBot="1" x14ac:dyDescent="0.25">
      <c r="B30" s="1557" t="s">
        <v>1318</v>
      </c>
      <c r="C30" s="1570">
        <v>4</v>
      </c>
      <c r="D30" s="1524"/>
      <c r="E30" s="1555"/>
      <c r="F30" s="1524"/>
      <c r="G30" s="1569"/>
      <c r="H30" s="1557" t="s">
        <v>1318</v>
      </c>
      <c r="I30" s="1570">
        <v>4</v>
      </c>
      <c r="J30" s="1524"/>
      <c r="K30" s="1555"/>
      <c r="L30" s="1524"/>
      <c r="M30" s="1569"/>
      <c r="N30" s="1557" t="s">
        <v>1318</v>
      </c>
      <c r="O30" s="1570">
        <v>4</v>
      </c>
      <c r="P30" s="1524"/>
      <c r="Q30" s="1555"/>
      <c r="R30" s="1524"/>
      <c r="S30" s="1569"/>
    </row>
    <row r="31" spans="2:24" x14ac:dyDescent="0.2">
      <c r="B31" s="1572" t="s">
        <v>1319</v>
      </c>
      <c r="C31" s="1573">
        <f>C29/C30/'MK Assumptions'!F6</f>
        <v>8.6700506189704776E-2</v>
      </c>
      <c r="D31" s="1574"/>
      <c r="E31" s="1575"/>
      <c r="F31" s="1574"/>
      <c r="G31" s="1576"/>
      <c r="H31" s="1572" t="s">
        <v>1319</v>
      </c>
      <c r="I31" s="1573">
        <f>I29/I30/'MK Assumptions'!G6</f>
        <v>8.486639262300473E-2</v>
      </c>
      <c r="J31" s="1574"/>
      <c r="K31" s="1575"/>
      <c r="L31" s="1574"/>
      <c r="M31" s="1576"/>
      <c r="N31" s="1572" t="s">
        <v>1319</v>
      </c>
      <c r="O31" s="1573">
        <f>O29/O30/'MK Assumptions'!H6</f>
        <v>8.3071078974821813E-2</v>
      </c>
      <c r="P31" s="1574"/>
      <c r="Q31" s="1575"/>
      <c r="R31" s="1574"/>
      <c r="S31" s="1576"/>
    </row>
    <row r="32" spans="2:24" ht="16" thickBot="1" x14ac:dyDescent="0.25">
      <c r="B32" s="1557" t="s">
        <v>1320</v>
      </c>
      <c r="C32" s="1577">
        <f>IF(C31&gt;0.08,0.08,C31)</f>
        <v>0.08</v>
      </c>
      <c r="D32" s="1578"/>
      <c r="E32" s="1578"/>
      <c r="F32" s="1578"/>
      <c r="G32" s="1566"/>
      <c r="H32" s="1557" t="s">
        <v>1320</v>
      </c>
      <c r="I32" s="1577">
        <f>IF(I31&gt;0.08,0.08,I31)</f>
        <v>0.08</v>
      </c>
      <c r="J32" s="1578"/>
      <c r="K32" s="1578"/>
      <c r="L32" s="1578"/>
      <c r="M32" s="1566"/>
      <c r="N32" s="1557" t="s">
        <v>1320</v>
      </c>
      <c r="O32" s="1577">
        <f>IF(O31&gt;0.08,0.08,O31)</f>
        <v>0.08</v>
      </c>
      <c r="P32" s="1578"/>
      <c r="Q32" s="1578"/>
      <c r="R32" s="1578"/>
      <c r="S32" s="1566"/>
    </row>
    <row r="35" spans="2:21" ht="19" x14ac:dyDescent="0.25">
      <c r="B35" s="1579" t="s">
        <v>1321</v>
      </c>
      <c r="C35" s="1580"/>
      <c r="D35" s="1580"/>
      <c r="E35" s="1551"/>
    </row>
    <row r="36" spans="2:21" x14ac:dyDescent="0.2">
      <c r="B36" s="1581" t="s">
        <v>801</v>
      </c>
      <c r="C36" s="1582"/>
      <c r="D36" s="1583" t="s">
        <v>1322</v>
      </c>
      <c r="E36" s="1584"/>
      <c r="O36" s="99"/>
      <c r="P36" s="99"/>
      <c r="Q36" s="99"/>
      <c r="R36" s="99"/>
      <c r="S36" s="99"/>
      <c r="T36" s="99"/>
      <c r="U36" s="99"/>
    </row>
    <row r="37" spans="2:21" x14ac:dyDescent="0.2">
      <c r="B37" s="1524" t="s">
        <v>787</v>
      </c>
      <c r="C37" s="1585">
        <v>0.01</v>
      </c>
      <c r="D37" s="1518" t="s">
        <v>787</v>
      </c>
      <c r="E37" s="1585">
        <v>0.1</v>
      </c>
    </row>
    <row r="38" spans="2:21" x14ac:dyDescent="0.2">
      <c r="B38" s="1524" t="s">
        <v>788</v>
      </c>
      <c r="C38" s="1585">
        <v>0.02</v>
      </c>
      <c r="D38" s="1518" t="s">
        <v>788</v>
      </c>
      <c r="E38" s="1586">
        <v>0.1</v>
      </c>
    </row>
    <row r="39" spans="2:21" x14ac:dyDescent="0.2">
      <c r="B39" s="1524" t="s">
        <v>789</v>
      </c>
      <c r="C39" s="1585">
        <v>0.03</v>
      </c>
      <c r="D39" s="1518" t="s">
        <v>789</v>
      </c>
      <c r="E39" s="1585">
        <v>0.1</v>
      </c>
    </row>
    <row r="40" spans="2:21" x14ac:dyDescent="0.2">
      <c r="B40" s="1524" t="s">
        <v>790</v>
      </c>
      <c r="C40" s="1585">
        <v>0.03</v>
      </c>
      <c r="D40" s="1518" t="s">
        <v>790</v>
      </c>
      <c r="E40" s="1585">
        <v>0.1</v>
      </c>
    </row>
    <row r="41" spans="2:21" x14ac:dyDescent="0.2">
      <c r="B41" s="1574" t="s">
        <v>791</v>
      </c>
      <c r="C41" s="1587">
        <v>0.03</v>
      </c>
      <c r="D41" s="1588" t="s">
        <v>791</v>
      </c>
      <c r="E41" s="1587">
        <v>0.1</v>
      </c>
    </row>
    <row r="42" spans="2:21" x14ac:dyDescent="0.2">
      <c r="L42" s="24"/>
      <c r="M42" s="24"/>
      <c r="N42" s="100"/>
      <c r="R42" s="35"/>
    </row>
    <row r="43" spans="2:21" x14ac:dyDescent="0.2">
      <c r="L43" s="24"/>
      <c r="M43" s="24"/>
      <c r="N43" s="101"/>
      <c r="O43" s="35"/>
      <c r="P43" s="35"/>
      <c r="S43" s="102"/>
    </row>
    <row r="44" spans="2:21" ht="19" x14ac:dyDescent="0.25">
      <c r="B44" s="1589" t="s">
        <v>1323</v>
      </c>
      <c r="C44" s="1590"/>
      <c r="D44" s="1579" t="s">
        <v>1324</v>
      </c>
      <c r="E44" s="1598"/>
      <c r="F44" s="100"/>
      <c r="G44" s="1190"/>
      <c r="H44" s="100"/>
      <c r="I44" s="3"/>
      <c r="J44" s="504"/>
      <c r="K44" s="3"/>
      <c r="L44" s="1246"/>
      <c r="M44" s="24"/>
      <c r="N44" s="3"/>
      <c r="O44" s="97"/>
      <c r="P44" s="3"/>
      <c r="S44" s="103"/>
    </row>
    <row r="45" spans="2:21" x14ac:dyDescent="0.2">
      <c r="B45" s="1591" t="s">
        <v>1278</v>
      </c>
      <c r="C45" s="1592"/>
      <c r="D45" s="1522" t="s">
        <v>1278</v>
      </c>
      <c r="E45" s="1525"/>
      <c r="F45" s="101"/>
      <c r="G45" s="502"/>
      <c r="H45" s="101"/>
      <c r="I45" s="502"/>
      <c r="J45" s="35"/>
      <c r="K45" s="502"/>
      <c r="L45" s="1247"/>
      <c r="M45" s="1248"/>
      <c r="N45" s="3"/>
      <c r="O45" s="64"/>
      <c r="Q45" s="28"/>
    </row>
    <row r="46" spans="2:21" x14ac:dyDescent="0.2">
      <c r="B46" s="1526" t="s">
        <v>1325</v>
      </c>
      <c r="C46" s="1592">
        <v>250</v>
      </c>
      <c r="D46" s="1524" t="s">
        <v>1326</v>
      </c>
      <c r="E46" s="1555">
        <v>1</v>
      </c>
      <c r="F46" s="3"/>
      <c r="G46" s="502"/>
      <c r="H46" s="3"/>
      <c r="I46" s="502"/>
      <c r="L46" s="24"/>
      <c r="M46" s="24"/>
      <c r="N46" s="3"/>
      <c r="O46" s="64"/>
      <c r="Q46" s="28"/>
    </row>
    <row r="47" spans="2:21" x14ac:dyDescent="0.2">
      <c r="B47" s="1526" t="s">
        <v>1327</v>
      </c>
      <c r="C47" s="1592">
        <v>399</v>
      </c>
      <c r="D47" s="1524" t="s">
        <v>1328</v>
      </c>
      <c r="E47" s="1525">
        <v>399</v>
      </c>
      <c r="F47" s="3"/>
      <c r="G47" s="502"/>
      <c r="H47" s="3"/>
      <c r="I47" s="502"/>
      <c r="K47" s="502"/>
      <c r="L47" s="24"/>
      <c r="M47" s="1248"/>
      <c r="N47" s="3"/>
      <c r="O47" s="18"/>
      <c r="Q47" s="27"/>
      <c r="S47" s="26"/>
    </row>
    <row r="48" spans="2:21" x14ac:dyDescent="0.2">
      <c r="B48" s="1526" t="s">
        <v>1280</v>
      </c>
      <c r="C48" s="1593">
        <v>10</v>
      </c>
      <c r="D48" s="1524" t="s">
        <v>1329</v>
      </c>
      <c r="E48" s="1555">
        <v>50</v>
      </c>
      <c r="F48" s="3"/>
      <c r="G48" s="3"/>
      <c r="H48" s="3"/>
      <c r="I48" s="3"/>
      <c r="L48" s="24"/>
      <c r="M48" s="24"/>
      <c r="N48" s="3"/>
      <c r="O48" s="102"/>
    </row>
    <row r="49" spans="2:15" x14ac:dyDescent="0.2">
      <c r="B49" s="1526" t="s">
        <v>1330</v>
      </c>
      <c r="C49" s="1593">
        <v>2</v>
      </c>
      <c r="D49" s="1524" t="s">
        <v>1331</v>
      </c>
      <c r="E49" s="1555">
        <v>3</v>
      </c>
      <c r="F49" s="3"/>
      <c r="G49" s="3"/>
      <c r="H49" s="3"/>
      <c r="I49" s="3"/>
      <c r="L49" s="24"/>
      <c r="M49" s="24"/>
      <c r="N49" s="3"/>
      <c r="O49" s="102"/>
    </row>
    <row r="50" spans="2:15" x14ac:dyDescent="0.2">
      <c r="B50" s="1526"/>
      <c r="C50" s="1593"/>
      <c r="D50" s="1524" t="s">
        <v>1332</v>
      </c>
      <c r="E50" s="1525">
        <v>250</v>
      </c>
      <c r="F50" s="3"/>
      <c r="G50" s="3"/>
      <c r="H50" s="3"/>
      <c r="I50" s="3"/>
      <c r="K50" s="502"/>
      <c r="L50" s="24"/>
      <c r="M50" s="1248"/>
      <c r="N50" s="3"/>
      <c r="O50" s="25"/>
    </row>
    <row r="51" spans="2:15" ht="16" thickBot="1" x14ac:dyDescent="0.25">
      <c r="B51" s="1528" t="s">
        <v>1282</v>
      </c>
      <c r="C51" s="1594">
        <v>2</v>
      </c>
      <c r="D51" s="1526" t="s">
        <v>1280</v>
      </c>
      <c r="E51" s="1527">
        <v>10</v>
      </c>
      <c r="F51" s="3"/>
      <c r="G51" s="502"/>
      <c r="H51" s="3"/>
      <c r="I51" s="3"/>
      <c r="J51" s="3"/>
      <c r="K51" s="3"/>
      <c r="L51" s="24"/>
      <c r="M51" s="24"/>
      <c r="N51" s="3"/>
      <c r="O51" s="18"/>
    </row>
    <row r="52" spans="2:15" x14ac:dyDescent="0.2">
      <c r="B52" s="1526" t="s">
        <v>1333</v>
      </c>
      <c r="C52" s="1592">
        <f>(C47+C46+C50)*C48*C49*C51</f>
        <v>25960</v>
      </c>
      <c r="D52" s="1526" t="s">
        <v>1334</v>
      </c>
      <c r="E52" s="1527">
        <v>4</v>
      </c>
      <c r="F52" s="3"/>
      <c r="G52" s="87"/>
      <c r="H52" s="3"/>
      <c r="I52" s="502"/>
      <c r="J52" s="3"/>
      <c r="K52" s="3"/>
      <c r="L52" s="24"/>
      <c r="M52" s="24"/>
      <c r="N52" s="3"/>
    </row>
    <row r="53" spans="2:15" ht="16" thickBot="1" x14ac:dyDescent="0.25">
      <c r="B53" s="1526" t="s">
        <v>1285</v>
      </c>
      <c r="C53" s="1595">
        <v>4.0000000000000002E-4</v>
      </c>
      <c r="D53" s="1528" t="s">
        <v>1282</v>
      </c>
      <c r="E53" s="1529">
        <v>2</v>
      </c>
      <c r="F53" s="3"/>
      <c r="G53" s="3"/>
      <c r="H53" s="3"/>
      <c r="I53" s="87"/>
      <c r="J53" s="3"/>
      <c r="K53" s="3"/>
      <c r="L53" s="24"/>
      <c r="M53" s="24"/>
      <c r="N53" s="3"/>
      <c r="O53" s="103"/>
    </row>
    <row r="54" spans="2:15" ht="16" thickBot="1" x14ac:dyDescent="0.25">
      <c r="B54" s="1531">
        <v>1000</v>
      </c>
      <c r="C54" s="1596">
        <v>1000</v>
      </c>
      <c r="D54" s="1526" t="s">
        <v>1333</v>
      </c>
      <c r="E54" s="1525">
        <f>(E46*E47+E48*E49)+PRODUCT(E50:E53)</f>
        <v>20549</v>
      </c>
      <c r="F54" s="3"/>
      <c r="G54" s="87"/>
      <c r="H54" s="3"/>
      <c r="I54" s="3"/>
      <c r="J54" s="3"/>
      <c r="K54" s="502"/>
      <c r="L54" s="24"/>
      <c r="M54" s="1248"/>
      <c r="N54" s="3"/>
    </row>
    <row r="55" spans="2:15" x14ac:dyDescent="0.2">
      <c r="B55" s="1533" t="s">
        <v>1286</v>
      </c>
      <c r="C55" s="1597">
        <f>C52*C53/C54</f>
        <v>1.0384000000000001E-2</v>
      </c>
      <c r="D55" s="1526" t="s">
        <v>1285</v>
      </c>
      <c r="E55" s="1530">
        <v>4.0000000000000002E-4</v>
      </c>
      <c r="H55" s="3"/>
      <c r="I55" s="87"/>
      <c r="J55" s="3"/>
      <c r="K55" s="87"/>
    </row>
    <row r="56" spans="2:15" ht="16" thickBot="1" x14ac:dyDescent="0.25">
      <c r="D56" s="1531">
        <v>1000</v>
      </c>
      <c r="E56" s="1532">
        <v>1000</v>
      </c>
      <c r="J56" s="3"/>
      <c r="K56" s="3"/>
    </row>
    <row r="57" spans="2:15" x14ac:dyDescent="0.2">
      <c r="D57" s="1533" t="s">
        <v>1286</v>
      </c>
      <c r="E57" s="1534">
        <f>E54*E55/E56</f>
        <v>8.2196000000000005E-3</v>
      </c>
      <c r="J57" s="3"/>
      <c r="K57" s="64"/>
    </row>
    <row r="59" spans="2:15" x14ac:dyDescent="0.2">
      <c r="G59" s="23"/>
      <c r="I59" s="23"/>
      <c r="K59" s="23"/>
    </row>
    <row r="60" spans="2:15" ht="19" x14ac:dyDescent="0.25">
      <c r="B60" s="1579" t="s">
        <v>1335</v>
      </c>
      <c r="C60" s="1599"/>
      <c r="D60" s="1579" t="s">
        <v>1336</v>
      </c>
      <c r="E60" s="1599"/>
      <c r="F60" s="1579" t="s">
        <v>1337</v>
      </c>
      <c r="G60" s="1599"/>
      <c r="H60" s="1600" t="s">
        <v>1338</v>
      </c>
      <c r="I60" s="1601"/>
    </row>
    <row r="61" spans="2:15" x14ac:dyDescent="0.2">
      <c r="B61" s="1522" t="s">
        <v>1339</v>
      </c>
      <c r="C61" s="1523"/>
      <c r="D61" s="1522" t="s">
        <v>1339</v>
      </c>
      <c r="E61" s="1523"/>
      <c r="F61" s="1522" t="s">
        <v>1339</v>
      </c>
      <c r="G61" s="1523"/>
      <c r="H61" s="1602" t="s">
        <v>1339</v>
      </c>
      <c r="I61" s="1603"/>
    </row>
    <row r="62" spans="2:15" x14ac:dyDescent="0.2">
      <c r="B62" s="1524" t="s">
        <v>1340</v>
      </c>
      <c r="C62" s="1604">
        <v>1</v>
      </c>
      <c r="D62" s="1524" t="s">
        <v>1340</v>
      </c>
      <c r="E62" s="1604">
        <v>1</v>
      </c>
      <c r="F62" s="1524" t="s">
        <v>1340</v>
      </c>
      <c r="G62" s="1604">
        <v>1</v>
      </c>
      <c r="H62" s="1536" t="s">
        <v>1341</v>
      </c>
      <c r="I62" s="1605">
        <v>1</v>
      </c>
    </row>
    <row r="63" spans="2:15" x14ac:dyDescent="0.2">
      <c r="B63" s="1524" t="s">
        <v>1342</v>
      </c>
      <c r="C63" s="1555">
        <v>4</v>
      </c>
      <c r="D63" s="1524" t="s">
        <v>1342</v>
      </c>
      <c r="E63" s="1555">
        <v>4</v>
      </c>
      <c r="F63" s="1524" t="s">
        <v>1342</v>
      </c>
      <c r="G63" s="1555">
        <v>5</v>
      </c>
      <c r="H63" s="1536" t="s">
        <v>1342</v>
      </c>
      <c r="I63" s="1606">
        <v>6</v>
      </c>
    </row>
    <row r="64" spans="2:15" x14ac:dyDescent="0.2">
      <c r="B64" s="1524" t="s">
        <v>1343</v>
      </c>
      <c r="C64" s="1555">
        <f>PRODUCT(C62:C63)</f>
        <v>4</v>
      </c>
      <c r="D64" s="1524" t="s">
        <v>1343</v>
      </c>
      <c r="E64" s="1555">
        <f>PRODUCT(E62:E63)</f>
        <v>4</v>
      </c>
      <c r="F64" s="1524" t="s">
        <v>1343</v>
      </c>
      <c r="G64" s="1555">
        <v>5</v>
      </c>
      <c r="H64" s="1536" t="s">
        <v>1343</v>
      </c>
      <c r="I64" s="1606">
        <f>I62*I63</f>
        <v>6</v>
      </c>
    </row>
    <row r="65" spans="2:9" x14ac:dyDescent="0.2">
      <c r="B65" s="1524" t="s">
        <v>1344</v>
      </c>
      <c r="C65" s="1607">
        <v>5000</v>
      </c>
      <c r="D65" s="1524" t="s">
        <v>1344</v>
      </c>
      <c r="E65" s="1607">
        <v>5000</v>
      </c>
      <c r="F65" s="1524" t="s">
        <v>1344</v>
      </c>
      <c r="G65" s="1607">
        <v>5000</v>
      </c>
      <c r="H65" s="1536" t="s">
        <v>1344</v>
      </c>
      <c r="I65" s="1608">
        <v>5000</v>
      </c>
    </row>
    <row r="66" spans="2:9" x14ac:dyDescent="0.2">
      <c r="B66" s="1518" t="s">
        <v>1345</v>
      </c>
      <c r="C66" s="1607">
        <v>3000</v>
      </c>
      <c r="D66" s="1518" t="s">
        <v>1345</v>
      </c>
      <c r="E66" s="1607">
        <v>3000</v>
      </c>
      <c r="F66" s="1518" t="s">
        <v>1345</v>
      </c>
      <c r="G66" s="1607">
        <v>3000</v>
      </c>
      <c r="H66" s="1609" t="s">
        <v>1345</v>
      </c>
      <c r="I66" s="1610">
        <v>4500</v>
      </c>
    </row>
    <row r="67" spans="2:9" ht="16" thickBot="1" x14ac:dyDescent="0.25">
      <c r="B67" s="1528" t="s">
        <v>1282</v>
      </c>
      <c r="C67" s="1529">
        <v>2</v>
      </c>
      <c r="D67" s="1528" t="s">
        <v>1282</v>
      </c>
      <c r="E67" s="1529">
        <v>2</v>
      </c>
      <c r="F67" s="1528" t="s">
        <v>1282</v>
      </c>
      <c r="G67" s="1529">
        <v>2</v>
      </c>
      <c r="H67" s="1611" t="s">
        <v>1282</v>
      </c>
      <c r="I67" s="1612">
        <v>2</v>
      </c>
    </row>
    <row r="68" spans="2:9" x14ac:dyDescent="0.2">
      <c r="B68" s="1524" t="s">
        <v>1346</v>
      </c>
      <c r="C68" s="1613">
        <f>PRODUCT(C64,C66:C67)+C65</f>
        <v>29000</v>
      </c>
      <c r="D68" s="1524" t="s">
        <v>1346</v>
      </c>
      <c r="E68" s="1613">
        <f>PRODUCT(E64,E66:E67)+E65</f>
        <v>29000</v>
      </c>
      <c r="F68" s="1524" t="s">
        <v>1346</v>
      </c>
      <c r="G68" s="1613">
        <f>PRODUCT(G64,G66:G67)+G65</f>
        <v>35000</v>
      </c>
      <c r="H68" s="1536" t="s">
        <v>1346</v>
      </c>
      <c r="I68" s="1614">
        <f>(I64*I67*I66)+I65</f>
        <v>59000</v>
      </c>
    </row>
    <row r="69" spans="2:9" x14ac:dyDescent="0.2">
      <c r="B69" s="1550" t="s">
        <v>1347</v>
      </c>
      <c r="C69" s="1580"/>
      <c r="D69" s="1550" t="s">
        <v>1347</v>
      </c>
      <c r="E69" s="1580"/>
      <c r="F69" s="1550" t="s">
        <v>1347</v>
      </c>
      <c r="G69" s="1580"/>
      <c r="H69" s="1615" t="s">
        <v>1347</v>
      </c>
      <c r="I69" s="1616"/>
    </row>
    <row r="70" spans="2:9" x14ac:dyDescent="0.2">
      <c r="B70" s="1526" t="s">
        <v>1348</v>
      </c>
      <c r="C70" s="1525">
        <f>C68</f>
        <v>29000</v>
      </c>
      <c r="D70" s="1526" t="s">
        <v>1348</v>
      </c>
      <c r="E70" s="1525">
        <f>E68</f>
        <v>29000</v>
      </c>
      <c r="F70" s="1526" t="s">
        <v>1348</v>
      </c>
      <c r="G70" s="1525">
        <f>G68</f>
        <v>35000</v>
      </c>
      <c r="H70" s="1536" t="s">
        <v>1348</v>
      </c>
      <c r="I70" s="1614">
        <f>I68</f>
        <v>59000</v>
      </c>
    </row>
    <row r="71" spans="2:9" x14ac:dyDescent="0.2">
      <c r="B71" s="1526" t="s">
        <v>1285</v>
      </c>
      <c r="C71" s="1530">
        <v>4.0000000000000002E-4</v>
      </c>
      <c r="D71" s="1526" t="s">
        <v>1285</v>
      </c>
      <c r="E71" s="1530">
        <v>4.0000000000000002E-4</v>
      </c>
      <c r="F71" s="1526" t="s">
        <v>1285</v>
      </c>
      <c r="G71" s="1530">
        <v>4.0000000000000002E-4</v>
      </c>
      <c r="H71" s="1536" t="s">
        <v>1285</v>
      </c>
      <c r="I71" s="1617">
        <v>4.0000000000000002E-4</v>
      </c>
    </row>
    <row r="72" spans="2:9" ht="16" thickBot="1" x14ac:dyDescent="0.25">
      <c r="B72" s="1531">
        <v>1000</v>
      </c>
      <c r="C72" s="1532">
        <v>1000</v>
      </c>
      <c r="D72" s="1531">
        <v>1000</v>
      </c>
      <c r="E72" s="1532">
        <v>1000</v>
      </c>
      <c r="F72" s="1531">
        <v>1000</v>
      </c>
      <c r="G72" s="1532">
        <v>1000</v>
      </c>
      <c r="H72" s="1618">
        <v>1000</v>
      </c>
      <c r="I72" s="1619">
        <v>1000</v>
      </c>
    </row>
    <row r="73" spans="2:9" x14ac:dyDescent="0.2">
      <c r="B73" s="1533" t="s">
        <v>1286</v>
      </c>
      <c r="C73" s="1534">
        <f>C70*C71/C72</f>
        <v>1.1600000000000001E-2</v>
      </c>
      <c r="D73" s="1533" t="s">
        <v>1286</v>
      </c>
      <c r="E73" s="1534">
        <f>E70*E71/E72</f>
        <v>1.1600000000000001E-2</v>
      </c>
      <c r="F73" s="1533" t="s">
        <v>1286</v>
      </c>
      <c r="G73" s="1534">
        <f>G70*G71/G72</f>
        <v>1.4E-2</v>
      </c>
      <c r="H73" s="1620" t="s">
        <v>1286</v>
      </c>
      <c r="I73" s="1621">
        <f>I70*I71/I72</f>
        <v>2.3600000000000003E-2</v>
      </c>
    </row>
    <row r="75" spans="2:9" ht="19" x14ac:dyDescent="0.25">
      <c r="B75" s="1579" t="s">
        <v>1349</v>
      </c>
      <c r="C75" s="1580"/>
      <c r="D75" s="1580"/>
      <c r="E75" s="1551"/>
    </row>
    <row r="76" spans="2:9" x14ac:dyDescent="0.2">
      <c r="B76" s="1581" t="s">
        <v>188</v>
      </c>
      <c r="C76" s="1582" t="s">
        <v>1350</v>
      </c>
      <c r="D76" s="1583" t="s">
        <v>1351</v>
      </c>
      <c r="E76" s="1622" t="s">
        <v>801</v>
      </c>
    </row>
    <row r="77" spans="2:9" x14ac:dyDescent="0.2">
      <c r="B77" s="1522" t="s">
        <v>787</v>
      </c>
      <c r="C77" s="1613">
        <v>10000</v>
      </c>
      <c r="D77" s="1623" t="s">
        <v>1352</v>
      </c>
      <c r="E77" s="1624"/>
    </row>
    <row r="78" spans="2:9" x14ac:dyDescent="0.2">
      <c r="B78" s="1524"/>
      <c r="C78" s="1613"/>
      <c r="D78" s="1518" t="s">
        <v>1353</v>
      </c>
      <c r="E78" s="1625">
        <v>0.01</v>
      </c>
    </row>
    <row r="79" spans="2:9" x14ac:dyDescent="0.2">
      <c r="B79" s="1524" t="s">
        <v>788</v>
      </c>
      <c r="C79" s="1613">
        <v>20000</v>
      </c>
      <c r="D79" s="1518" t="s">
        <v>1352</v>
      </c>
      <c r="E79" s="1626"/>
    </row>
    <row r="80" spans="2:9" x14ac:dyDescent="0.2">
      <c r="B80" s="1524"/>
      <c r="C80" s="1613"/>
      <c r="D80" s="1518" t="s">
        <v>1353</v>
      </c>
      <c r="E80" s="1626">
        <v>0.02</v>
      </c>
    </row>
    <row r="81" spans="2:15" x14ac:dyDescent="0.2">
      <c r="B81" s="1524" t="s">
        <v>789</v>
      </c>
      <c r="C81" s="1613">
        <v>30000</v>
      </c>
      <c r="D81" s="1518" t="s">
        <v>1354</v>
      </c>
      <c r="E81" s="1625"/>
    </row>
    <row r="82" spans="2:15" x14ac:dyDescent="0.2">
      <c r="B82" s="1524"/>
      <c r="C82" s="1613"/>
      <c r="D82" s="1518" t="s">
        <v>1355</v>
      </c>
      <c r="E82" s="1625">
        <v>0.03</v>
      </c>
    </row>
    <row r="83" spans="2:15" x14ac:dyDescent="0.2">
      <c r="B83" s="1524" t="s">
        <v>790</v>
      </c>
      <c r="C83" s="1613">
        <v>40000</v>
      </c>
      <c r="D83" s="1518" t="s">
        <v>1354</v>
      </c>
      <c r="E83" s="1625"/>
    </row>
    <row r="84" spans="2:15" x14ac:dyDescent="0.2">
      <c r="B84" s="1524"/>
      <c r="C84" s="1613"/>
      <c r="D84" s="1518" t="s">
        <v>1355</v>
      </c>
      <c r="E84" s="1625">
        <v>0.04</v>
      </c>
    </row>
    <row r="85" spans="2:15" x14ac:dyDescent="0.2">
      <c r="B85" s="1524" t="s">
        <v>791</v>
      </c>
      <c r="C85" s="1627">
        <v>50000</v>
      </c>
      <c r="D85" s="1518" t="s">
        <v>1354</v>
      </c>
      <c r="E85" s="1625"/>
    </row>
    <row r="86" spans="2:15" x14ac:dyDescent="0.2">
      <c r="B86" s="1574"/>
      <c r="C86" s="1628"/>
      <c r="D86" s="1588" t="s">
        <v>1355</v>
      </c>
      <c r="E86" s="1629">
        <v>0.05</v>
      </c>
    </row>
    <row r="87" spans="2:15" x14ac:dyDescent="0.2">
      <c r="B87" s="1630" t="s">
        <v>160</v>
      </c>
      <c r="C87" s="1627">
        <f>SUM(C77:C86)</f>
        <v>150000</v>
      </c>
      <c r="D87" s="1518"/>
      <c r="E87" s="1518"/>
    </row>
    <row r="92" spans="2:15" ht="26" x14ac:dyDescent="0.3">
      <c r="B92" s="633" t="s">
        <v>1356</v>
      </c>
    </row>
    <row r="93" spans="2:15" x14ac:dyDescent="0.2">
      <c r="B93" s="5" t="s">
        <v>1357</v>
      </c>
    </row>
    <row r="94" spans="2:15" x14ac:dyDescent="0.2">
      <c r="B94" s="1191" t="s">
        <v>1206</v>
      </c>
      <c r="C94" s="1192"/>
      <c r="D94" s="1193"/>
      <c r="E94" s="1193"/>
      <c r="F94" s="1193"/>
      <c r="G94" s="1193"/>
      <c r="H94" s="1193"/>
      <c r="I94" s="1193"/>
      <c r="J94" s="1193"/>
      <c r="K94" s="1193"/>
      <c r="L94" s="1193"/>
      <c r="M94" s="1193"/>
      <c r="N94" s="1193"/>
      <c r="O94" s="1194"/>
    </row>
    <row r="95" spans="2:15" x14ac:dyDescent="0.2">
      <c r="B95" s="104"/>
      <c r="C95" s="52" t="s">
        <v>1358</v>
      </c>
      <c r="D95" s="52" t="s">
        <v>1359</v>
      </c>
      <c r="E95" s="52" t="s">
        <v>1360</v>
      </c>
      <c r="F95" s="52" t="s">
        <v>1361</v>
      </c>
      <c r="G95" s="52" t="s">
        <v>1362</v>
      </c>
      <c r="H95" s="52" t="s">
        <v>1363</v>
      </c>
      <c r="I95" s="52" t="s">
        <v>1364</v>
      </c>
      <c r="J95" s="1195" t="s">
        <v>1365</v>
      </c>
      <c r="K95" s="52" t="s">
        <v>1366</v>
      </c>
      <c r="L95" s="52" t="s">
        <v>1367</v>
      </c>
      <c r="M95" s="52" t="s">
        <v>1368</v>
      </c>
      <c r="N95" s="52" t="s">
        <v>1369</v>
      </c>
      <c r="O95" s="1196" t="s">
        <v>490</v>
      </c>
    </row>
    <row r="96" spans="2:15" x14ac:dyDescent="0.2">
      <c r="B96" s="1189" t="s">
        <v>1207</v>
      </c>
      <c r="C96" s="79" t="s">
        <v>1370</v>
      </c>
      <c r="D96" s="93">
        <v>232</v>
      </c>
      <c r="E96" s="94">
        <v>2</v>
      </c>
      <c r="F96" s="1197">
        <f>E96*D96</f>
        <v>464</v>
      </c>
      <c r="G96" s="17">
        <f>17.96*8*4*2</f>
        <v>1149.44</v>
      </c>
      <c r="H96" s="52">
        <v>200</v>
      </c>
      <c r="I96" s="1195">
        <v>2400</v>
      </c>
      <c r="J96" s="17">
        <v>30.37</v>
      </c>
      <c r="K96">
        <v>50</v>
      </c>
      <c r="L96" s="1198">
        <f>J96*K96</f>
        <v>1518.5</v>
      </c>
      <c r="M96">
        <v>45</v>
      </c>
      <c r="N96">
        <v>300</v>
      </c>
      <c r="O96" s="107">
        <f>N96+M96+J96+I96+H96+G96+F96</f>
        <v>4588.8099999999995</v>
      </c>
    </row>
    <row r="97" spans="2:15" x14ac:dyDescent="0.2">
      <c r="B97" s="1189" t="s">
        <v>1169</v>
      </c>
      <c r="C97" s="79" t="s">
        <v>1371</v>
      </c>
      <c r="D97" s="93">
        <v>445</v>
      </c>
      <c r="E97" s="94">
        <v>2</v>
      </c>
      <c r="F97" s="1197">
        <f>E97*D97</f>
        <v>890</v>
      </c>
      <c r="G97" s="17">
        <f>17.96*3*2*8</f>
        <v>862.08</v>
      </c>
      <c r="H97" s="1199"/>
      <c r="I97" s="1195">
        <v>2400</v>
      </c>
      <c r="J97" s="17">
        <v>30.37</v>
      </c>
      <c r="K97">
        <v>50</v>
      </c>
      <c r="L97" s="1198">
        <f>J97*K97</f>
        <v>1518.5</v>
      </c>
      <c r="M97" s="1199"/>
      <c r="N97">
        <v>300</v>
      </c>
      <c r="O97" s="107">
        <f>N97+M97+J97+I97+H97+G97+F97</f>
        <v>4482.45</v>
      </c>
    </row>
    <row r="98" spans="2:15" x14ac:dyDescent="0.2">
      <c r="B98" s="1189" t="s">
        <v>1170</v>
      </c>
      <c r="C98" s="1200"/>
      <c r="D98" s="93">
        <v>311</v>
      </c>
      <c r="E98" s="94">
        <v>2</v>
      </c>
      <c r="F98" s="1197">
        <f>E98*D98</f>
        <v>622</v>
      </c>
      <c r="G98" s="17">
        <f>17.96*3*2*8</f>
        <v>862.08</v>
      </c>
      <c r="H98" s="1199"/>
      <c r="I98" s="1195">
        <v>2400</v>
      </c>
      <c r="J98" s="17">
        <v>30.37</v>
      </c>
      <c r="K98">
        <v>50</v>
      </c>
      <c r="L98" s="1198">
        <f>J98*K98</f>
        <v>1518.5</v>
      </c>
      <c r="M98" s="1199"/>
      <c r="N98">
        <v>300</v>
      </c>
      <c r="O98" s="107">
        <f>N98+M98+J98+I98+H98+G98+F98</f>
        <v>4214.45</v>
      </c>
    </row>
    <row r="99" spans="2:15" x14ac:dyDescent="0.2">
      <c r="B99" s="1189" t="s">
        <v>1171</v>
      </c>
      <c r="C99" s="1200"/>
      <c r="D99" s="1200"/>
      <c r="E99" s="94">
        <v>2</v>
      </c>
      <c r="F99" s="1197">
        <f>E99*D99</f>
        <v>0</v>
      </c>
      <c r="G99" s="17">
        <f>17.96*3*2*8</f>
        <v>862.08</v>
      </c>
      <c r="H99" s="1199"/>
      <c r="I99" s="1195">
        <v>2400</v>
      </c>
      <c r="J99" s="17">
        <v>30.37</v>
      </c>
      <c r="K99">
        <v>50</v>
      </c>
      <c r="L99" s="1198">
        <f>J99*K99</f>
        <v>1518.5</v>
      </c>
      <c r="M99" s="1199"/>
      <c r="N99" s="1199"/>
      <c r="O99" s="107">
        <f>N99+M99+J99+I99+H99+G99+F99</f>
        <v>3292.45</v>
      </c>
    </row>
    <row r="100" spans="2:15" ht="112" x14ac:dyDescent="0.2">
      <c r="B100" s="104"/>
      <c r="N100" s="53" t="s">
        <v>1372</v>
      </c>
      <c r="O100" s="107">
        <f>2*SUM(O96:O99)</f>
        <v>33156.32</v>
      </c>
    </row>
    <row r="101" spans="2:15" x14ac:dyDescent="0.2">
      <c r="B101" s="104"/>
      <c r="J101" s="17"/>
      <c r="N101" s="96" t="s">
        <v>1373</v>
      </c>
      <c r="O101" s="107">
        <f>SUM(O100:O100)</f>
        <v>33156.32</v>
      </c>
    </row>
    <row r="102" spans="2:15" x14ac:dyDescent="0.2">
      <c r="B102" s="917" t="s">
        <v>1374</v>
      </c>
      <c r="C102" s="99"/>
      <c r="D102" s="99"/>
      <c r="E102" s="99"/>
      <c r="F102" s="99"/>
      <c r="G102" s="99"/>
      <c r="H102" s="99"/>
      <c r="I102" s="99"/>
      <c r="J102" s="1201"/>
      <c r="K102" s="99"/>
      <c r="L102" s="99"/>
      <c r="M102" s="99"/>
      <c r="N102" s="99"/>
      <c r="O102" s="105"/>
    </row>
    <row r="103" spans="2:15" x14ac:dyDescent="0.2">
      <c r="B103" s="1202" t="s">
        <v>1206</v>
      </c>
      <c r="C103" s="1203"/>
      <c r="D103" s="607"/>
      <c r="E103" s="607"/>
      <c r="F103" s="607"/>
      <c r="G103" s="607"/>
      <c r="H103" s="607"/>
      <c r="I103" s="607"/>
      <c r="J103" s="1204"/>
      <c r="K103" s="607"/>
      <c r="L103" s="607"/>
      <c r="M103" s="607"/>
      <c r="N103" s="607"/>
      <c r="O103" s="1205"/>
    </row>
    <row r="104" spans="2:15" x14ac:dyDescent="0.2">
      <c r="B104" s="104"/>
      <c r="C104" s="52" t="s">
        <v>1358</v>
      </c>
      <c r="D104" s="52" t="s">
        <v>1359</v>
      </c>
      <c r="E104" s="52" t="s">
        <v>1360</v>
      </c>
      <c r="F104" s="52" t="s">
        <v>1361</v>
      </c>
      <c r="G104" s="52" t="s">
        <v>1362</v>
      </c>
      <c r="H104" s="52" t="s">
        <v>1363</v>
      </c>
      <c r="I104" s="52" t="s">
        <v>1364</v>
      </c>
      <c r="J104" s="1195" t="s">
        <v>1365</v>
      </c>
      <c r="K104" s="52" t="s">
        <v>1366</v>
      </c>
      <c r="L104" s="52" t="s">
        <v>1367</v>
      </c>
      <c r="M104" s="52" t="s">
        <v>1368</v>
      </c>
      <c r="N104" s="52" t="s">
        <v>1369</v>
      </c>
      <c r="O104" s="1196" t="s">
        <v>490</v>
      </c>
    </row>
    <row r="105" spans="2:15" x14ac:dyDescent="0.2">
      <c r="B105" s="1189" t="s">
        <v>1207</v>
      </c>
      <c r="C105" s="79" t="s">
        <v>1370</v>
      </c>
      <c r="D105" s="93">
        <v>232</v>
      </c>
      <c r="E105" s="94">
        <v>2</v>
      </c>
      <c r="F105" s="1197">
        <f>E105*D105</f>
        <v>464</v>
      </c>
      <c r="G105" s="17">
        <f>17.96*8*4*2</f>
        <v>1149.44</v>
      </c>
      <c r="H105" s="52">
        <v>200</v>
      </c>
      <c r="I105" s="52">
        <v>2400</v>
      </c>
      <c r="J105" s="17">
        <v>26.58</v>
      </c>
      <c r="K105">
        <v>50</v>
      </c>
      <c r="L105" s="1198">
        <f>J105*K105</f>
        <v>1329</v>
      </c>
      <c r="M105">
        <v>45</v>
      </c>
      <c r="N105">
        <v>300</v>
      </c>
      <c r="O105" s="107">
        <f>N105+M105+J105+I105+H105+G105+F105</f>
        <v>4585.0200000000004</v>
      </c>
    </row>
    <row r="106" spans="2:15" x14ac:dyDescent="0.2">
      <c r="B106" s="1189" t="s">
        <v>1169</v>
      </c>
      <c r="C106" s="79" t="s">
        <v>1371</v>
      </c>
      <c r="D106" s="93">
        <v>445</v>
      </c>
      <c r="E106" s="94">
        <v>2</v>
      </c>
      <c r="F106" s="1197">
        <f>E106*D106</f>
        <v>890</v>
      </c>
      <c r="G106" s="17">
        <f>17.96*3*2*8</f>
        <v>862.08</v>
      </c>
      <c r="H106" s="1199"/>
      <c r="I106" s="52">
        <v>2400</v>
      </c>
      <c r="J106" s="17">
        <v>26.58</v>
      </c>
      <c r="K106">
        <v>50</v>
      </c>
      <c r="L106" s="1198">
        <f>J106*K106</f>
        <v>1329</v>
      </c>
      <c r="M106" s="1199"/>
      <c r="N106">
        <v>300</v>
      </c>
      <c r="O106" s="107">
        <f>N106+M106+J106+I106+H106+G106+F106</f>
        <v>4478.66</v>
      </c>
    </row>
    <row r="107" spans="2:15" x14ac:dyDescent="0.2">
      <c r="B107" s="1189" t="s">
        <v>1170</v>
      </c>
      <c r="C107" s="1200"/>
      <c r="D107" s="93">
        <v>311</v>
      </c>
      <c r="E107" s="94">
        <v>2</v>
      </c>
      <c r="F107" s="1197">
        <f>E107*D107</f>
        <v>622</v>
      </c>
      <c r="G107" s="17">
        <f>17.96*3*2*8</f>
        <v>862.08</v>
      </c>
      <c r="H107" s="1199"/>
      <c r="I107" s="52">
        <v>2400</v>
      </c>
      <c r="J107" s="17">
        <v>26.58</v>
      </c>
      <c r="K107">
        <v>50</v>
      </c>
      <c r="L107" s="1198">
        <f>J107*K107</f>
        <v>1329</v>
      </c>
      <c r="M107" s="1199"/>
      <c r="N107">
        <v>300</v>
      </c>
      <c r="O107" s="107">
        <f>N107+M107+J107+I107+H107+G107+F107</f>
        <v>4210.66</v>
      </c>
    </row>
    <row r="108" spans="2:15" x14ac:dyDescent="0.2">
      <c r="B108" s="1189" t="s">
        <v>1171</v>
      </c>
      <c r="C108" s="1200"/>
      <c r="D108" s="1200"/>
      <c r="E108" s="94">
        <v>2</v>
      </c>
      <c r="F108" s="1197">
        <f>E108*D108</f>
        <v>0</v>
      </c>
      <c r="G108" s="17">
        <f>17.96*3*2*8</f>
        <v>862.08</v>
      </c>
      <c r="H108" s="1199"/>
      <c r="I108" s="52">
        <v>2400</v>
      </c>
      <c r="J108" s="17">
        <v>26.58</v>
      </c>
      <c r="K108">
        <v>50</v>
      </c>
      <c r="L108" s="1198">
        <f>J108*K108</f>
        <v>1329</v>
      </c>
      <c r="M108" s="1199"/>
      <c r="N108" s="1199"/>
      <c r="O108" s="107">
        <f>N108+M108+J108+I108+H108+G108+F108</f>
        <v>3288.66</v>
      </c>
    </row>
    <row r="109" spans="2:15" ht="112" x14ac:dyDescent="0.2">
      <c r="B109" s="1206"/>
      <c r="C109" s="607"/>
      <c r="D109" s="607"/>
      <c r="E109" s="607"/>
      <c r="F109" s="607"/>
      <c r="G109" s="607"/>
      <c r="H109" s="607"/>
      <c r="I109" s="607"/>
      <c r="J109" s="607"/>
      <c r="K109" s="607"/>
      <c r="L109" s="607"/>
      <c r="M109" s="607"/>
      <c r="N109" s="53" t="s">
        <v>1372</v>
      </c>
      <c r="O109" s="107">
        <f>2*SUM(O105:O108)</f>
        <v>33126</v>
      </c>
    </row>
    <row r="110" spans="2:15" x14ac:dyDescent="0.2">
      <c r="B110" s="104"/>
      <c r="J110" s="17"/>
      <c r="N110" s="96" t="s">
        <v>490</v>
      </c>
      <c r="O110" s="107">
        <f>SUM(O109:O109)</f>
        <v>33126</v>
      </c>
    </row>
    <row r="111" spans="2:15" x14ac:dyDescent="0.2">
      <c r="B111" s="917" t="s">
        <v>1375</v>
      </c>
      <c r="C111" s="99"/>
      <c r="D111" s="99"/>
      <c r="E111" s="99"/>
      <c r="F111" s="99"/>
      <c r="G111" s="99"/>
      <c r="H111" s="99"/>
      <c r="I111" s="99"/>
      <c r="J111" s="1201"/>
      <c r="K111" s="99"/>
      <c r="L111" s="99"/>
      <c r="M111" s="99"/>
      <c r="N111" s="99"/>
      <c r="O111" s="105"/>
    </row>
    <row r="112" spans="2:15" x14ac:dyDescent="0.2">
      <c r="B112" s="1202" t="s">
        <v>1206</v>
      </c>
      <c r="C112" s="1203"/>
      <c r="D112" s="607"/>
      <c r="E112" s="607"/>
      <c r="F112" s="607"/>
      <c r="G112" s="607"/>
      <c r="H112" s="607"/>
      <c r="I112" s="607"/>
      <c r="J112" s="1204"/>
      <c r="K112" s="607"/>
      <c r="L112" s="607"/>
      <c r="M112" s="607"/>
      <c r="N112" s="607"/>
      <c r="O112" s="1205"/>
    </row>
    <row r="113" spans="2:15" x14ac:dyDescent="0.2">
      <c r="B113" s="104"/>
      <c r="C113" s="52" t="s">
        <v>1358</v>
      </c>
      <c r="D113" s="52" t="s">
        <v>1359</v>
      </c>
      <c r="E113" s="52" t="s">
        <v>1360</v>
      </c>
      <c r="F113" s="52" t="s">
        <v>1361</v>
      </c>
      <c r="G113" s="52" t="s">
        <v>1362</v>
      </c>
      <c r="H113" s="52" t="s">
        <v>1363</v>
      </c>
      <c r="I113" s="52" t="s">
        <v>1364</v>
      </c>
      <c r="J113" s="1195" t="s">
        <v>1365</v>
      </c>
      <c r="K113" s="52" t="s">
        <v>1366</v>
      </c>
      <c r="L113" s="52" t="s">
        <v>1367</v>
      </c>
      <c r="M113" s="52" t="s">
        <v>1368</v>
      </c>
      <c r="N113" s="52" t="s">
        <v>1369</v>
      </c>
      <c r="O113" s="1196" t="s">
        <v>490</v>
      </c>
    </row>
    <row r="114" spans="2:15" x14ac:dyDescent="0.2">
      <c r="B114" s="1189" t="s">
        <v>1207</v>
      </c>
      <c r="C114" s="79" t="s">
        <v>1370</v>
      </c>
      <c r="D114" s="93">
        <v>232</v>
      </c>
      <c r="E114" s="94">
        <v>2</v>
      </c>
      <c r="F114" s="1197">
        <f>E114*D114</f>
        <v>464</v>
      </c>
      <c r="G114" s="17">
        <f>17.96*8*4*2</f>
        <v>1149.44</v>
      </c>
      <c r="H114" s="52">
        <v>200</v>
      </c>
      <c r="I114" s="52">
        <v>2400</v>
      </c>
      <c r="J114" s="17">
        <v>21.32</v>
      </c>
      <c r="K114">
        <v>50</v>
      </c>
      <c r="L114" s="1198">
        <f>J114*K114</f>
        <v>1066</v>
      </c>
      <c r="M114">
        <v>45</v>
      </c>
      <c r="N114">
        <v>300</v>
      </c>
      <c r="O114" s="107">
        <f>N114+M114+J114+I114+H114+G114+F114</f>
        <v>4579.76</v>
      </c>
    </row>
    <row r="115" spans="2:15" x14ac:dyDescent="0.2">
      <c r="B115" s="1189" t="s">
        <v>1169</v>
      </c>
      <c r="C115" s="79" t="s">
        <v>1371</v>
      </c>
      <c r="D115" s="93">
        <v>445</v>
      </c>
      <c r="E115" s="94">
        <v>2</v>
      </c>
      <c r="F115" s="1197">
        <f>E115*D115</f>
        <v>890</v>
      </c>
      <c r="G115" s="17">
        <f>17.96*3*2*8</f>
        <v>862.08</v>
      </c>
      <c r="H115" s="1199"/>
      <c r="I115" s="52">
        <v>2400</v>
      </c>
      <c r="J115" s="17">
        <v>21.32</v>
      </c>
      <c r="K115">
        <v>50</v>
      </c>
      <c r="L115" s="1198">
        <f>J115*K115</f>
        <v>1066</v>
      </c>
      <c r="M115" s="1199"/>
      <c r="N115">
        <v>300</v>
      </c>
      <c r="O115" s="107">
        <f>N115+M115+J115+I115+H115+G115+F115</f>
        <v>4473.3999999999996</v>
      </c>
    </row>
    <row r="116" spans="2:15" x14ac:dyDescent="0.2">
      <c r="B116" s="1189" t="s">
        <v>1170</v>
      </c>
      <c r="C116" s="1200"/>
      <c r="D116" s="93">
        <v>311</v>
      </c>
      <c r="E116" s="94">
        <v>2</v>
      </c>
      <c r="F116" s="1197">
        <f>E116*D116</f>
        <v>622</v>
      </c>
      <c r="G116" s="17">
        <f>17.96*3*2*8</f>
        <v>862.08</v>
      </c>
      <c r="H116" s="1199"/>
      <c r="I116" s="52">
        <v>2400</v>
      </c>
      <c r="J116" s="17">
        <v>21.32</v>
      </c>
      <c r="K116">
        <v>50</v>
      </c>
      <c r="L116" s="1198">
        <f>J116*K116</f>
        <v>1066</v>
      </c>
      <c r="M116" s="1199"/>
      <c r="N116">
        <v>300</v>
      </c>
      <c r="O116" s="107">
        <f>N116+M116+J116+I116+H116+G116+F116</f>
        <v>4205.3999999999996</v>
      </c>
    </row>
    <row r="117" spans="2:15" x14ac:dyDescent="0.2">
      <c r="B117" s="1189" t="s">
        <v>1171</v>
      </c>
      <c r="C117" s="1200"/>
      <c r="D117" s="1200"/>
      <c r="E117" s="94">
        <v>2</v>
      </c>
      <c r="F117" s="1197">
        <f>E117*D117</f>
        <v>0</v>
      </c>
      <c r="G117" s="17">
        <f>17.96*3*2*8</f>
        <v>862.08</v>
      </c>
      <c r="H117" s="1199"/>
      <c r="I117" s="52">
        <v>2400</v>
      </c>
      <c r="J117" s="17">
        <v>21.32</v>
      </c>
      <c r="K117">
        <v>50</v>
      </c>
      <c r="L117" s="1198">
        <f>J117*K117</f>
        <v>1066</v>
      </c>
      <c r="M117" s="1199"/>
      <c r="N117" s="1199"/>
      <c r="O117" s="107">
        <f>N117+M117+J117+I117+H117+G117+F117</f>
        <v>3283.4</v>
      </c>
    </row>
    <row r="118" spans="2:15" ht="112" x14ac:dyDescent="0.2">
      <c r="B118" s="1206"/>
      <c r="C118" s="607"/>
      <c r="D118" s="607"/>
      <c r="E118" s="607"/>
      <c r="F118" s="607"/>
      <c r="G118" s="607"/>
      <c r="H118" s="607"/>
      <c r="I118" s="607"/>
      <c r="J118" s="607"/>
      <c r="K118" s="607"/>
      <c r="L118" s="607"/>
      <c r="M118" s="607"/>
      <c r="N118" s="53" t="s">
        <v>1372</v>
      </c>
      <c r="O118" s="107">
        <f>2*SUM(O114:O117)</f>
        <v>33083.919999999998</v>
      </c>
    </row>
    <row r="119" spans="2:15" x14ac:dyDescent="0.2">
      <c r="B119" s="1207" t="s">
        <v>1376</v>
      </c>
      <c r="C119" s="608"/>
      <c r="D119" s="608"/>
      <c r="E119" s="608"/>
      <c r="F119" s="608"/>
      <c r="G119" s="608"/>
      <c r="H119" s="608"/>
      <c r="I119" s="608"/>
      <c r="J119" s="1208"/>
      <c r="K119" s="608"/>
      <c r="L119" s="608"/>
      <c r="M119" s="1209"/>
      <c r="N119" s="1209"/>
      <c r="O119" s="1210"/>
    </row>
    <row r="120" spans="2:15" ht="16" x14ac:dyDescent="0.2">
      <c r="B120" s="1211" t="s">
        <v>1377</v>
      </c>
      <c r="C120" s="79" t="s">
        <v>1371</v>
      </c>
      <c r="D120" s="1212"/>
      <c r="E120" s="94">
        <v>2</v>
      </c>
      <c r="F120" s="1197">
        <f>E120*D120</f>
        <v>0</v>
      </c>
      <c r="G120" s="17">
        <f>17.96*3*2*8</f>
        <v>862.08</v>
      </c>
      <c r="H120" s="1199"/>
      <c r="I120" s="52">
        <f>2*90</f>
        <v>180</v>
      </c>
      <c r="J120" s="17">
        <v>21.32</v>
      </c>
      <c r="K120">
        <v>50</v>
      </c>
      <c r="L120" s="1198">
        <f>J120*K120</f>
        <v>1066</v>
      </c>
      <c r="M120" s="1199"/>
      <c r="N120">
        <v>300</v>
      </c>
      <c r="O120" s="107">
        <f>N120+M120+L120+I120+H120+G120+F120</f>
        <v>2408.08</v>
      </c>
    </row>
    <row r="121" spans="2:15" ht="16" x14ac:dyDescent="0.2">
      <c r="B121" s="1211" t="s">
        <v>1378</v>
      </c>
      <c r="C121" s="1200"/>
      <c r="D121" s="1200"/>
      <c r="E121" s="94">
        <v>2</v>
      </c>
      <c r="F121" s="1197">
        <f>E121*D121</f>
        <v>0</v>
      </c>
      <c r="G121" s="17">
        <f>17.96*3*2*8</f>
        <v>862.08</v>
      </c>
      <c r="H121" s="1199"/>
      <c r="I121" s="52">
        <f>2*90</f>
        <v>180</v>
      </c>
      <c r="J121" s="17">
        <v>21.32</v>
      </c>
      <c r="K121">
        <v>50</v>
      </c>
      <c r="L121" s="1198">
        <f>J121*K121</f>
        <v>1066</v>
      </c>
      <c r="M121" s="1199"/>
      <c r="N121" s="1199"/>
      <c r="O121" s="107">
        <f>N121+M121+L121+I121+H121+G121+F121</f>
        <v>2108.08</v>
      </c>
    </row>
    <row r="122" spans="2:15" x14ac:dyDescent="0.2">
      <c r="B122" s="104"/>
      <c r="J122" s="17"/>
      <c r="N122" s="96" t="s">
        <v>490</v>
      </c>
      <c r="O122" s="107">
        <f>SUM(O118:O121)</f>
        <v>37600.080000000002</v>
      </c>
    </row>
    <row r="123" spans="2:15" x14ac:dyDescent="0.2">
      <c r="B123" s="917" t="s">
        <v>1379</v>
      </c>
      <c r="C123" s="99"/>
      <c r="D123" s="99"/>
      <c r="E123" s="99"/>
      <c r="F123" s="99"/>
      <c r="G123" s="99"/>
      <c r="H123" s="99"/>
      <c r="I123" s="99"/>
      <c r="J123" s="1201"/>
      <c r="K123" s="99"/>
      <c r="L123" s="99"/>
      <c r="M123" s="99"/>
      <c r="N123" s="99"/>
      <c r="O123" s="105"/>
    </row>
    <row r="124" spans="2:15" x14ac:dyDescent="0.2">
      <c r="B124" s="1202" t="s">
        <v>1206</v>
      </c>
      <c r="C124" s="1203"/>
      <c r="D124" s="607"/>
      <c r="E124" s="607"/>
      <c r="F124" s="607"/>
      <c r="G124" s="607"/>
      <c r="H124" s="607"/>
      <c r="I124" s="607"/>
      <c r="J124" s="1204"/>
      <c r="K124" s="607"/>
      <c r="L124" s="607"/>
      <c r="M124" s="607"/>
      <c r="N124" s="607"/>
      <c r="O124" s="1205"/>
    </row>
    <row r="125" spans="2:15" x14ac:dyDescent="0.2">
      <c r="B125" s="104"/>
      <c r="C125" s="52" t="s">
        <v>1358</v>
      </c>
      <c r="D125" s="52" t="s">
        <v>1359</v>
      </c>
      <c r="E125" s="52" t="s">
        <v>1360</v>
      </c>
      <c r="F125" s="52" t="s">
        <v>1361</v>
      </c>
      <c r="G125" s="52" t="s">
        <v>1362</v>
      </c>
      <c r="H125" s="52" t="s">
        <v>1363</v>
      </c>
      <c r="I125" s="52" t="s">
        <v>1364</v>
      </c>
      <c r="J125" s="1195" t="s">
        <v>1365</v>
      </c>
      <c r="K125" s="52" t="s">
        <v>1366</v>
      </c>
      <c r="L125" s="52" t="s">
        <v>1367</v>
      </c>
      <c r="M125" s="52" t="s">
        <v>1368</v>
      </c>
      <c r="N125" s="52" t="s">
        <v>1369</v>
      </c>
      <c r="O125" s="1196" t="s">
        <v>490</v>
      </c>
    </row>
    <row r="126" spans="2:15" x14ac:dyDescent="0.2">
      <c r="B126" s="1189" t="s">
        <v>1207</v>
      </c>
      <c r="C126" s="79" t="s">
        <v>1370</v>
      </c>
      <c r="D126" s="93">
        <v>232</v>
      </c>
      <c r="E126" s="94">
        <v>2</v>
      </c>
      <c r="F126" s="1197">
        <f>E126*D126</f>
        <v>464</v>
      </c>
      <c r="G126" s="17">
        <f>17.96*8*4*2</f>
        <v>1149.44</v>
      </c>
      <c r="H126" s="52">
        <v>200</v>
      </c>
      <c r="I126" s="52">
        <v>2400</v>
      </c>
      <c r="J126" s="17">
        <v>20.12</v>
      </c>
      <c r="K126">
        <v>50</v>
      </c>
      <c r="L126" s="1198">
        <f>J126*K126</f>
        <v>1006</v>
      </c>
      <c r="M126">
        <v>45</v>
      </c>
      <c r="N126">
        <v>300</v>
      </c>
      <c r="O126" s="107">
        <f>N126+M126+J126+I126+H126+G126+F126</f>
        <v>4578.5599999999995</v>
      </c>
    </row>
    <row r="127" spans="2:15" x14ac:dyDescent="0.2">
      <c r="B127" s="1189" t="s">
        <v>1169</v>
      </c>
      <c r="C127" s="79" t="s">
        <v>1371</v>
      </c>
      <c r="D127" s="93">
        <v>445</v>
      </c>
      <c r="E127" s="94">
        <v>2</v>
      </c>
      <c r="F127" s="1197">
        <f>E127*D127</f>
        <v>890</v>
      </c>
      <c r="G127" s="17">
        <f>17.96*3*2*8</f>
        <v>862.08</v>
      </c>
      <c r="H127" s="1199"/>
      <c r="I127" s="52">
        <v>2400</v>
      </c>
      <c r="J127" s="17">
        <v>20.12</v>
      </c>
      <c r="K127">
        <v>50</v>
      </c>
      <c r="L127" s="1198">
        <f>J127*K127</f>
        <v>1006</v>
      </c>
      <c r="M127" s="1199"/>
      <c r="N127">
        <v>300</v>
      </c>
      <c r="O127" s="107">
        <f>N127+M127+J127+I127+H127+G127+F127</f>
        <v>4472.2</v>
      </c>
    </row>
    <row r="128" spans="2:15" x14ac:dyDescent="0.2">
      <c r="B128" s="1189" t="s">
        <v>1170</v>
      </c>
      <c r="C128" s="1200"/>
      <c r="D128" s="93">
        <v>311</v>
      </c>
      <c r="E128" s="94">
        <v>2</v>
      </c>
      <c r="F128" s="1197">
        <f>E128*D128</f>
        <v>622</v>
      </c>
      <c r="G128" s="17">
        <f>17.96*3*2*8</f>
        <v>862.08</v>
      </c>
      <c r="H128" s="1199"/>
      <c r="I128" s="52">
        <v>2400</v>
      </c>
      <c r="J128" s="17">
        <v>20.12</v>
      </c>
      <c r="K128">
        <v>50</v>
      </c>
      <c r="L128" s="1198">
        <f>J128*K128</f>
        <v>1006</v>
      </c>
      <c r="M128" s="1199"/>
      <c r="N128">
        <v>300</v>
      </c>
      <c r="O128" s="107">
        <f>N128+M128+J128+I128+H128+G128+F128</f>
        <v>4204.2</v>
      </c>
    </row>
    <row r="129" spans="2:15" x14ac:dyDescent="0.2">
      <c r="B129" s="1189" t="s">
        <v>1171</v>
      </c>
      <c r="C129" s="1200"/>
      <c r="D129" s="1200"/>
      <c r="E129" s="94">
        <v>2</v>
      </c>
      <c r="F129" s="1197">
        <f>E129*D129</f>
        <v>0</v>
      </c>
      <c r="G129" s="17">
        <f>17.96*3*2*8</f>
        <v>862.08</v>
      </c>
      <c r="H129" s="1199"/>
      <c r="I129" s="52">
        <v>2400</v>
      </c>
      <c r="J129" s="17">
        <v>20.12</v>
      </c>
      <c r="K129">
        <v>50</v>
      </c>
      <c r="L129" s="1198">
        <f>J129*K129</f>
        <v>1006</v>
      </c>
      <c r="M129" s="1199"/>
      <c r="N129" s="1199"/>
      <c r="O129" s="107">
        <f>N129+M129+J129+I129+H129+G129+F129</f>
        <v>3282.2</v>
      </c>
    </row>
    <row r="130" spans="2:15" ht="112" x14ac:dyDescent="0.2">
      <c r="B130" s="1207" t="s">
        <v>1376</v>
      </c>
      <c r="C130" s="608"/>
      <c r="D130" s="608"/>
      <c r="E130" s="608"/>
      <c r="F130" s="608"/>
      <c r="G130" s="608"/>
      <c r="H130" s="608"/>
      <c r="I130" s="608"/>
      <c r="J130" s="1208"/>
      <c r="K130" s="608"/>
      <c r="L130" s="608"/>
      <c r="M130" s="1209"/>
      <c r="N130" s="53" t="s">
        <v>1372</v>
      </c>
      <c r="O130" s="107">
        <f>2*SUM(O126:O129)</f>
        <v>33074.32</v>
      </c>
    </row>
    <row r="131" spans="2:15" ht="16" x14ac:dyDescent="0.2">
      <c r="B131" s="1211" t="s">
        <v>1380</v>
      </c>
      <c r="C131" s="79" t="s">
        <v>1370</v>
      </c>
      <c r="D131" s="1213"/>
      <c r="E131" s="94">
        <v>2</v>
      </c>
      <c r="F131" s="1197">
        <f>E131*D131</f>
        <v>0</v>
      </c>
      <c r="G131" s="17">
        <f>17.96*8*4*2</f>
        <v>1149.44</v>
      </c>
      <c r="H131" s="1199"/>
      <c r="I131" s="52">
        <f>2*90</f>
        <v>180</v>
      </c>
      <c r="J131" s="17">
        <v>20.12</v>
      </c>
      <c r="K131">
        <v>50</v>
      </c>
      <c r="L131" s="1198">
        <f>J131*K131</f>
        <v>1006</v>
      </c>
      <c r="M131" s="1214"/>
      <c r="N131">
        <v>300</v>
      </c>
      <c r="O131" s="107">
        <f>N131+M131+L131+I131+G131+F131</f>
        <v>2635.44</v>
      </c>
    </row>
    <row r="132" spans="2:15" ht="16" x14ac:dyDescent="0.2">
      <c r="B132" s="1211" t="s">
        <v>1377</v>
      </c>
      <c r="C132" s="79" t="s">
        <v>1371</v>
      </c>
      <c r="D132" s="1212"/>
      <c r="E132" s="94">
        <v>2</v>
      </c>
      <c r="F132" s="1197">
        <f>E132*D132</f>
        <v>0</v>
      </c>
      <c r="G132" s="17">
        <f>17.96*3*2*8</f>
        <v>862.08</v>
      </c>
      <c r="H132" s="1199"/>
      <c r="I132" s="52">
        <f>2*90</f>
        <v>180</v>
      </c>
      <c r="J132" s="17">
        <v>20.12</v>
      </c>
      <c r="K132">
        <v>50</v>
      </c>
      <c r="L132" s="1198">
        <f>J132*K132</f>
        <v>1006</v>
      </c>
      <c r="M132" s="1199"/>
      <c r="N132">
        <v>300</v>
      </c>
      <c r="O132" s="107">
        <f>N132+M132+L132+I132+H132+G132+F132</f>
        <v>2348.08</v>
      </c>
    </row>
    <row r="133" spans="2:15" ht="32" x14ac:dyDescent="0.2">
      <c r="B133" s="1211" t="s">
        <v>1381</v>
      </c>
      <c r="C133" s="1200"/>
      <c r="D133" s="1212"/>
      <c r="E133" s="94">
        <v>2</v>
      </c>
      <c r="F133" s="1197">
        <f>E133*D133</f>
        <v>0</v>
      </c>
      <c r="G133" s="17">
        <f>17.96*3*2*8</f>
        <v>862.08</v>
      </c>
      <c r="H133" s="1199"/>
      <c r="I133" s="52">
        <f>2*90</f>
        <v>180</v>
      </c>
      <c r="J133" s="17">
        <v>20.12</v>
      </c>
      <c r="K133">
        <v>50</v>
      </c>
      <c r="L133" s="1198">
        <f>J133*K133</f>
        <v>1006</v>
      </c>
      <c r="M133" s="1199"/>
      <c r="N133">
        <v>300</v>
      </c>
      <c r="O133" s="107">
        <f>N133+M133+L133+I133+H133+G133+F133</f>
        <v>2348.08</v>
      </c>
    </row>
    <row r="134" spans="2:15" ht="16" x14ac:dyDescent="0.2">
      <c r="B134" s="1211" t="s">
        <v>1378</v>
      </c>
      <c r="C134" s="1200"/>
      <c r="D134" s="1200"/>
      <c r="E134" s="94">
        <v>2</v>
      </c>
      <c r="F134" s="1197">
        <f>E134*D134</f>
        <v>0</v>
      </c>
      <c r="G134" s="17">
        <f>17.96*3*2*8</f>
        <v>862.08</v>
      </c>
      <c r="H134" s="1199"/>
      <c r="I134" s="52">
        <f>2*90</f>
        <v>180</v>
      </c>
      <c r="J134" s="17">
        <v>20.12</v>
      </c>
      <c r="K134">
        <v>50</v>
      </c>
      <c r="L134" s="1198">
        <f>J134*K134</f>
        <v>1006</v>
      </c>
      <c r="M134" s="1199"/>
      <c r="N134" s="1199"/>
      <c r="O134" s="107">
        <f>N134+M134+L134+I134+H134+G134+F134</f>
        <v>2048.08</v>
      </c>
    </row>
    <row r="135" spans="2:15" x14ac:dyDescent="0.2">
      <c r="B135" s="104"/>
      <c r="J135" s="17"/>
      <c r="N135" s="96" t="s">
        <v>490</v>
      </c>
      <c r="O135" s="107">
        <f>SUM(O130:O134)</f>
        <v>42454.000000000007</v>
      </c>
    </row>
    <row r="136" spans="2:15" x14ac:dyDescent="0.2">
      <c r="B136" s="104"/>
      <c r="J136" s="17"/>
      <c r="O136" s="106"/>
    </row>
    <row r="137" spans="2:15" x14ac:dyDescent="0.2">
      <c r="B137" s="1188" t="s">
        <v>1382</v>
      </c>
      <c r="C137" s="1187"/>
      <c r="D137" s="1187"/>
      <c r="E137" s="1187"/>
      <c r="F137" s="1187"/>
      <c r="G137" s="1187"/>
      <c r="H137" s="1187"/>
      <c r="I137" s="1187"/>
      <c r="J137" s="1215"/>
      <c r="K137" s="1187"/>
      <c r="L137" s="1187"/>
      <c r="M137" s="1187"/>
      <c r="N137" s="1187"/>
      <c r="O137" s="1216"/>
    </row>
    <row r="138" spans="2:15" x14ac:dyDescent="0.2">
      <c r="B138" s="1217" t="s">
        <v>1206</v>
      </c>
      <c r="C138" s="1218"/>
      <c r="D138" s="1219"/>
      <c r="E138" s="1219"/>
      <c r="F138" s="1219"/>
      <c r="G138" s="1219"/>
      <c r="H138" s="1219"/>
      <c r="I138" s="1219"/>
      <c r="J138" s="1220"/>
      <c r="K138" s="1219"/>
      <c r="L138" s="1219"/>
      <c r="M138" s="1219"/>
      <c r="N138" s="1219"/>
      <c r="O138" s="1221"/>
    </row>
    <row r="139" spans="2:15" x14ac:dyDescent="0.2">
      <c r="B139" s="1222"/>
      <c r="C139" s="71" t="s">
        <v>1358</v>
      </c>
      <c r="D139" s="71" t="s">
        <v>1359</v>
      </c>
      <c r="E139" s="71" t="s">
        <v>1360</v>
      </c>
      <c r="F139" s="71" t="s">
        <v>1361</v>
      </c>
      <c r="G139" s="71" t="s">
        <v>1362</v>
      </c>
      <c r="H139" s="71" t="s">
        <v>1363</v>
      </c>
      <c r="I139" s="71" t="s">
        <v>1364</v>
      </c>
      <c r="J139" s="1223" t="s">
        <v>1365</v>
      </c>
      <c r="K139" s="71" t="s">
        <v>1366</v>
      </c>
      <c r="L139" s="71" t="s">
        <v>1367</v>
      </c>
      <c r="M139" s="71" t="s">
        <v>1368</v>
      </c>
      <c r="N139" s="71" t="s">
        <v>1369</v>
      </c>
      <c r="O139" s="1224" t="s">
        <v>490</v>
      </c>
    </row>
    <row r="140" spans="2:15" x14ac:dyDescent="0.2">
      <c r="B140" s="1225" t="s">
        <v>1207</v>
      </c>
      <c r="C140" s="92" t="s">
        <v>1370</v>
      </c>
      <c r="D140" s="1226">
        <v>232</v>
      </c>
      <c r="E140" s="1227">
        <v>2</v>
      </c>
      <c r="F140" s="1228">
        <v>464</v>
      </c>
      <c r="G140" s="1229">
        <v>1149.44</v>
      </c>
      <c r="H140" s="71">
        <v>200</v>
      </c>
      <c r="I140" s="71">
        <v>2400</v>
      </c>
      <c r="J140" s="17">
        <v>19.71</v>
      </c>
      <c r="K140" s="3">
        <v>50</v>
      </c>
      <c r="L140" s="1230">
        <v>1244.43</v>
      </c>
      <c r="M140" s="3">
        <v>45</v>
      </c>
      <c r="N140" s="3">
        <v>300</v>
      </c>
      <c r="O140" s="1231">
        <v>4583.33</v>
      </c>
    </row>
    <row r="141" spans="2:15" x14ac:dyDescent="0.2">
      <c r="B141" s="1225" t="s">
        <v>1169</v>
      </c>
      <c r="C141" s="92" t="s">
        <v>1371</v>
      </c>
      <c r="D141" s="1226">
        <v>445</v>
      </c>
      <c r="E141" s="1227">
        <v>2</v>
      </c>
      <c r="F141" s="1228">
        <v>890</v>
      </c>
      <c r="G141" s="1229">
        <v>862.08</v>
      </c>
      <c r="H141" s="1232"/>
      <c r="I141" s="71">
        <v>2400</v>
      </c>
      <c r="J141" s="17">
        <v>19.71</v>
      </c>
      <c r="K141" s="3">
        <v>50</v>
      </c>
      <c r="L141" s="1230">
        <v>1244.43</v>
      </c>
      <c r="M141" s="1232"/>
      <c r="N141" s="3">
        <v>300</v>
      </c>
      <c r="O141" s="1231">
        <v>4476.97</v>
      </c>
    </row>
    <row r="142" spans="2:15" x14ac:dyDescent="0.2">
      <c r="B142" s="1225" t="s">
        <v>1170</v>
      </c>
      <c r="C142" s="1233"/>
      <c r="D142" s="1226">
        <v>311</v>
      </c>
      <c r="E142" s="1227">
        <v>2</v>
      </c>
      <c r="F142" s="1228">
        <v>622</v>
      </c>
      <c r="G142" s="1229">
        <v>862.08</v>
      </c>
      <c r="H142" s="1232"/>
      <c r="I142" s="71">
        <v>2400</v>
      </c>
      <c r="J142" s="17">
        <v>19.71</v>
      </c>
      <c r="K142" s="3">
        <v>50</v>
      </c>
      <c r="L142" s="1230">
        <v>1244.43</v>
      </c>
      <c r="M142" s="1232"/>
      <c r="N142" s="3">
        <v>300</v>
      </c>
      <c r="O142" s="1231">
        <v>4208.97</v>
      </c>
    </row>
    <row r="143" spans="2:15" x14ac:dyDescent="0.2">
      <c r="B143" s="1225" t="s">
        <v>1171</v>
      </c>
      <c r="C143" s="1233"/>
      <c r="D143" s="1233"/>
      <c r="E143" s="1227">
        <v>2</v>
      </c>
      <c r="F143" s="1228">
        <v>0</v>
      </c>
      <c r="G143" s="1229">
        <v>862.08</v>
      </c>
      <c r="H143" s="1232"/>
      <c r="I143" s="71">
        <v>2400</v>
      </c>
      <c r="J143" s="17">
        <v>19.71</v>
      </c>
      <c r="K143" s="3">
        <v>50</v>
      </c>
      <c r="L143" s="1230">
        <v>1244.43</v>
      </c>
      <c r="M143" s="1232"/>
      <c r="N143" s="1232"/>
      <c r="O143" s="1231">
        <v>3286.97</v>
      </c>
    </row>
    <row r="144" spans="2:15" ht="112" x14ac:dyDescent="0.2">
      <c r="B144" s="1234" t="s">
        <v>1376</v>
      </c>
      <c r="C144" s="1235"/>
      <c r="D144" s="1235"/>
      <c r="E144" s="1235"/>
      <c r="F144" s="1235"/>
      <c r="G144" s="1235"/>
      <c r="H144" s="1235"/>
      <c r="I144" s="1235"/>
      <c r="J144" s="1236"/>
      <c r="K144" s="1235"/>
      <c r="L144" s="1235"/>
      <c r="M144" s="1237"/>
      <c r="N144" s="171" t="s">
        <v>1372</v>
      </c>
      <c r="O144" s="1231">
        <f>2*SUM(O140:O143)</f>
        <v>33112.480000000003</v>
      </c>
    </row>
    <row r="145" spans="2:15" ht="16" x14ac:dyDescent="0.2">
      <c r="B145" s="1238" t="s">
        <v>1380</v>
      </c>
      <c r="C145" s="92" t="s">
        <v>1370</v>
      </c>
      <c r="D145" s="1239"/>
      <c r="E145" s="1227">
        <v>2</v>
      </c>
      <c r="F145" s="1228">
        <v>0</v>
      </c>
      <c r="G145" s="1229">
        <v>1149.44</v>
      </c>
      <c r="H145" s="1232"/>
      <c r="I145" s="71">
        <v>180</v>
      </c>
      <c r="J145" s="17">
        <v>19.71</v>
      </c>
      <c r="K145" s="3">
        <v>50</v>
      </c>
      <c r="L145" s="1230">
        <v>1244.43</v>
      </c>
      <c r="M145" s="1240"/>
      <c r="N145" s="3">
        <v>300</v>
      </c>
      <c r="O145" s="1231">
        <v>2873.87</v>
      </c>
    </row>
    <row r="146" spans="2:15" ht="16" x14ac:dyDescent="0.2">
      <c r="B146" s="1238" t="s">
        <v>1377</v>
      </c>
      <c r="C146" s="92" t="s">
        <v>1371</v>
      </c>
      <c r="D146" s="1241"/>
      <c r="E146" s="1227">
        <v>2</v>
      </c>
      <c r="F146" s="1228">
        <v>0</v>
      </c>
      <c r="G146" s="1229">
        <v>862.08</v>
      </c>
      <c r="H146" s="1232"/>
      <c r="I146" s="71">
        <v>180</v>
      </c>
      <c r="J146" s="17">
        <v>19.71</v>
      </c>
      <c r="K146" s="3">
        <v>50</v>
      </c>
      <c r="L146" s="1230">
        <v>1244.43</v>
      </c>
      <c r="M146" s="1232"/>
      <c r="N146" s="3">
        <v>300</v>
      </c>
      <c r="O146" s="1231">
        <v>2586.5100000000002</v>
      </c>
    </row>
    <row r="147" spans="2:15" ht="32" x14ac:dyDescent="0.2">
      <c r="B147" s="1238" t="s">
        <v>1381</v>
      </c>
      <c r="C147" s="1233"/>
      <c r="D147" s="1241"/>
      <c r="E147" s="1227">
        <v>2</v>
      </c>
      <c r="F147" s="1228">
        <v>0</v>
      </c>
      <c r="G147" s="1229">
        <v>862.08</v>
      </c>
      <c r="H147" s="1232"/>
      <c r="I147" s="71">
        <v>180</v>
      </c>
      <c r="J147" s="17">
        <v>19.71</v>
      </c>
      <c r="K147" s="3">
        <v>50</v>
      </c>
      <c r="L147" s="1230">
        <v>1244.43</v>
      </c>
      <c r="M147" s="1232"/>
      <c r="N147" s="3">
        <v>300</v>
      </c>
      <c r="O147" s="1231">
        <v>2586.5100000000002</v>
      </c>
    </row>
    <row r="148" spans="2:15" ht="16" x14ac:dyDescent="0.2">
      <c r="B148" s="1238" t="s">
        <v>1378</v>
      </c>
      <c r="C148" s="1233"/>
      <c r="D148" s="1233"/>
      <c r="E148" s="1227">
        <v>2</v>
      </c>
      <c r="F148" s="1228">
        <v>0</v>
      </c>
      <c r="G148" s="1229">
        <v>862.08</v>
      </c>
      <c r="H148" s="1232"/>
      <c r="I148" s="71">
        <v>180</v>
      </c>
      <c r="J148" s="17">
        <v>19.71</v>
      </c>
      <c r="K148" s="3">
        <v>50</v>
      </c>
      <c r="L148" s="1230">
        <v>1244.43</v>
      </c>
      <c r="M148" s="1232"/>
      <c r="N148" s="1232"/>
      <c r="O148" s="1231">
        <v>2286.5100000000002</v>
      </c>
    </row>
    <row r="149" spans="2:15" x14ac:dyDescent="0.2">
      <c r="B149" s="1242"/>
      <c r="C149" s="85"/>
      <c r="D149" s="85"/>
      <c r="E149" s="85"/>
      <c r="F149" s="85"/>
      <c r="G149" s="85"/>
      <c r="H149" s="85"/>
      <c r="I149" s="85"/>
      <c r="J149" s="1243"/>
      <c r="K149" s="85"/>
      <c r="L149" s="85"/>
      <c r="M149" s="85"/>
      <c r="N149" s="1244" t="s">
        <v>490</v>
      </c>
      <c r="O149" s="1245">
        <f>SUM(O144:O148)</f>
        <v>43445.880000000012</v>
      </c>
    </row>
    <row r="151" spans="2:15" x14ac:dyDescent="0.2">
      <c r="B151" s="1631"/>
      <c r="C151" s="1580" t="s">
        <v>1383</v>
      </c>
      <c r="D151" s="1580" t="s">
        <v>1384</v>
      </c>
      <c r="E151" s="1580" t="s">
        <v>1385</v>
      </c>
      <c r="F151" s="1580" t="s">
        <v>801</v>
      </c>
      <c r="G151" s="1632" t="s">
        <v>1386</v>
      </c>
    </row>
    <row r="152" spans="2:15" x14ac:dyDescent="0.2">
      <c r="B152" s="1633" t="s">
        <v>787</v>
      </c>
      <c r="C152" s="1518">
        <v>8</v>
      </c>
      <c r="D152" s="1627">
        <f>O101</f>
        <v>33156.32</v>
      </c>
      <c r="E152" s="1634">
        <v>0.01</v>
      </c>
      <c r="F152" s="1635">
        <f>(D152*(0.0008))/1000</f>
        <v>2.6525055999999998E-2</v>
      </c>
      <c r="G152" s="1636">
        <f>MIN(E152,F152)</f>
        <v>0.01</v>
      </c>
    </row>
    <row r="153" spans="2:15" x14ac:dyDescent="0.2">
      <c r="B153" s="1633" t="s">
        <v>788</v>
      </c>
      <c r="C153" s="1518">
        <v>8</v>
      </c>
      <c r="D153" s="1627">
        <f>O110</f>
        <v>33126</v>
      </c>
      <c r="E153" s="1634">
        <v>0.02</v>
      </c>
      <c r="F153" s="1635">
        <f>(D153*(0.0008))/1000</f>
        <v>2.6500800000000001E-2</v>
      </c>
      <c r="G153" s="1636">
        <f>MIN(E153,F153)</f>
        <v>0.02</v>
      </c>
    </row>
    <row r="154" spans="2:15" x14ac:dyDescent="0.2">
      <c r="B154" s="1633" t="s">
        <v>789</v>
      </c>
      <c r="C154" s="1518">
        <v>8</v>
      </c>
      <c r="D154" s="1627">
        <f>O122</f>
        <v>37600.080000000002</v>
      </c>
      <c r="E154" s="1634">
        <v>0.03</v>
      </c>
      <c r="F154" s="1635">
        <f>(D154*(0.0008))/1000</f>
        <v>3.0080064000000004E-2</v>
      </c>
      <c r="G154" s="1636">
        <f>MIN(E154,F154)</f>
        <v>0.03</v>
      </c>
    </row>
    <row r="155" spans="2:15" x14ac:dyDescent="0.2">
      <c r="B155" s="1633" t="s">
        <v>790</v>
      </c>
      <c r="C155" s="1518">
        <v>8</v>
      </c>
      <c r="D155" s="1627">
        <f>O135</f>
        <v>42454.000000000007</v>
      </c>
      <c r="E155" s="1634">
        <v>0.03</v>
      </c>
      <c r="F155" s="1635">
        <f>(D155*(0.0008))/1000</f>
        <v>3.3963200000000006E-2</v>
      </c>
      <c r="G155" s="1636">
        <f>MIN(E155,F155)</f>
        <v>0.03</v>
      </c>
    </row>
    <row r="156" spans="2:15" x14ac:dyDescent="0.2">
      <c r="B156" s="1637" t="s">
        <v>791</v>
      </c>
      <c r="C156" s="1588">
        <v>8</v>
      </c>
      <c r="D156" s="1638">
        <f>O149</f>
        <v>43445.880000000012</v>
      </c>
      <c r="E156" s="1639">
        <v>0.03</v>
      </c>
      <c r="F156" s="1640">
        <f>(D156*(0.0008))/1000</f>
        <v>3.4756704000000013E-2</v>
      </c>
      <c r="G156" s="1641">
        <f>MIN(E156,F156)</f>
        <v>0.03</v>
      </c>
    </row>
    <row r="160" spans="2:15" x14ac:dyDescent="0.2">
      <c r="B160" s="1643" t="s">
        <v>1188</v>
      </c>
      <c r="C160" s="1642"/>
      <c r="D160" s="1642"/>
      <c r="E160" s="1642"/>
    </row>
    <row r="161" spans="2:5" x14ac:dyDescent="0.2">
      <c r="B161" s="1644" t="s">
        <v>1387</v>
      </c>
      <c r="C161" s="1645" t="s">
        <v>188</v>
      </c>
      <c r="D161" s="1646" t="s">
        <v>1138</v>
      </c>
      <c r="E161" s="1647" t="s">
        <v>1388</v>
      </c>
    </row>
    <row r="162" spans="2:5" x14ac:dyDescent="0.2">
      <c r="B162" s="1524"/>
      <c r="C162" s="1648" t="s">
        <v>787</v>
      </c>
      <c r="D162" s="1649">
        <v>0</v>
      </c>
      <c r="E162" s="1650">
        <v>13000</v>
      </c>
    </row>
    <row r="163" spans="2:5" x14ac:dyDescent="0.2">
      <c r="B163" s="1651"/>
      <c r="C163" s="1648" t="s">
        <v>788</v>
      </c>
      <c r="D163" s="1595">
        <f>('MK Bases Model (Base Case)'!D15*0.5*3)/'MK Bases Model (Base Case)'!D7</f>
        <v>4.7185997242428258E-3</v>
      </c>
      <c r="E163" s="1650">
        <v>27000</v>
      </c>
    </row>
    <row r="164" spans="2:5" x14ac:dyDescent="0.2">
      <c r="B164" s="1651"/>
      <c r="C164" s="1648" t="s">
        <v>789</v>
      </c>
      <c r="D164" s="1595">
        <f>('MK Bases Model (Base Case)'!E15*0.5*3)/'MK Bases Model (Base Case)'!E7</f>
        <v>1.2167511500720726E-2</v>
      </c>
      <c r="E164" s="1650">
        <v>70000</v>
      </c>
    </row>
    <row r="165" spans="2:5" x14ac:dyDescent="0.2">
      <c r="B165" s="1651"/>
      <c r="C165" s="1648" t="s">
        <v>790</v>
      </c>
      <c r="D165" s="1595">
        <f>('MK Bases Model (Base Case)'!F15*0.5*3)/'MK Bases Model (Base Case)'!F7</f>
        <v>2.0438143687973694E-2</v>
      </c>
      <c r="E165" s="1650">
        <v>110000</v>
      </c>
    </row>
    <row r="166" spans="2:5" x14ac:dyDescent="0.2">
      <c r="B166" s="1652"/>
      <c r="C166" s="1653" t="s">
        <v>791</v>
      </c>
      <c r="D166" s="1597">
        <f>('MK Bases Model (Base Case)'!G15*0.5*3)/'MK Bases Model (Base Case)'!G7</f>
        <v>2.78412700828795E-2</v>
      </c>
      <c r="E166" s="1654">
        <v>160000</v>
      </c>
    </row>
    <row r="168" spans="2:5" x14ac:dyDescent="0.2">
      <c r="B168" s="1644" t="s">
        <v>1389</v>
      </c>
      <c r="C168" s="1655">
        <v>1</v>
      </c>
      <c r="D168" s="1656" t="s">
        <v>1390</v>
      </c>
      <c r="E168" s="1657" t="s">
        <v>1391</v>
      </c>
    </row>
    <row r="169" spans="2:5" x14ac:dyDescent="0.2">
      <c r="B169" s="1651" t="s">
        <v>1392</v>
      </c>
      <c r="C169" s="1648">
        <v>2</v>
      </c>
      <c r="D169" s="1593" t="s">
        <v>1393</v>
      </c>
      <c r="E169" s="1658" t="s">
        <v>1394</v>
      </c>
    </row>
    <row r="170" spans="2:5" x14ac:dyDescent="0.2">
      <c r="B170" s="1651"/>
      <c r="C170" s="1648">
        <v>3</v>
      </c>
      <c r="D170" s="1593" t="s">
        <v>1395</v>
      </c>
      <c r="E170" s="1658" t="s">
        <v>1396</v>
      </c>
    </row>
    <row r="171" spans="2:5" x14ac:dyDescent="0.2">
      <c r="B171" s="1651"/>
      <c r="C171" s="1648">
        <v>4</v>
      </c>
      <c r="D171" s="1593" t="s">
        <v>1397</v>
      </c>
      <c r="E171" s="1658" t="s">
        <v>1398</v>
      </c>
    </row>
    <row r="172" spans="2:5" x14ac:dyDescent="0.2">
      <c r="B172" s="1651"/>
      <c r="C172" s="1648">
        <v>5</v>
      </c>
      <c r="D172" s="1593" t="s">
        <v>1399</v>
      </c>
      <c r="E172" s="1658" t="s">
        <v>1400</v>
      </c>
    </row>
    <row r="173" spans="2:5" x14ac:dyDescent="0.2">
      <c r="B173" s="1524"/>
      <c r="C173" s="1648">
        <v>6</v>
      </c>
      <c r="D173" s="1593" t="s">
        <v>1401</v>
      </c>
      <c r="E173" s="1658" t="s">
        <v>1402</v>
      </c>
    </row>
    <row r="174" spans="2:5" x14ac:dyDescent="0.2">
      <c r="B174" s="1524"/>
      <c r="C174" s="1648">
        <v>7</v>
      </c>
      <c r="D174" s="1593" t="s">
        <v>1403</v>
      </c>
      <c r="E174" s="1658" t="s">
        <v>1404</v>
      </c>
    </row>
    <row r="175" spans="2:5" x14ac:dyDescent="0.2">
      <c r="B175" s="1524"/>
      <c r="C175" s="1648">
        <v>8</v>
      </c>
      <c r="D175" s="1593" t="s">
        <v>1405</v>
      </c>
      <c r="E175" s="1658" t="s">
        <v>1406</v>
      </c>
    </row>
    <row r="176" spans="2:5" x14ac:dyDescent="0.2">
      <c r="B176" s="1659"/>
      <c r="C176" s="1655" t="s">
        <v>787</v>
      </c>
      <c r="D176" s="1660">
        <v>0.01</v>
      </c>
      <c r="E176" s="1661">
        <v>10000</v>
      </c>
    </row>
    <row r="177" spans="2:23" x14ac:dyDescent="0.2">
      <c r="B177" s="1651"/>
      <c r="C177" s="1648" t="s">
        <v>788</v>
      </c>
      <c r="D177" s="1649">
        <v>0.01</v>
      </c>
      <c r="E177" s="1662">
        <v>10000</v>
      </c>
      <c r="J177" s="1692"/>
      <c r="K177" s="1693"/>
      <c r="L177" s="1693"/>
      <c r="M177" s="1693"/>
      <c r="N177" s="1693"/>
      <c r="O177" s="1693"/>
      <c r="P177" s="1693"/>
      <c r="Q177" s="1693"/>
      <c r="R177" s="1694"/>
      <c r="S177" s="1693"/>
      <c r="T177" s="1693"/>
      <c r="U177" s="1693"/>
      <c r="V177" s="1693"/>
      <c r="W177" s="1693"/>
    </row>
    <row r="178" spans="2:23" x14ac:dyDescent="0.2">
      <c r="B178" s="1524"/>
      <c r="C178" s="1648" t="s">
        <v>789</v>
      </c>
      <c r="D178" s="1649">
        <v>0.01</v>
      </c>
      <c r="E178" s="1662">
        <v>10000</v>
      </c>
      <c r="J178" s="1692"/>
      <c r="K178" s="1692"/>
      <c r="L178" s="1693"/>
      <c r="M178" s="1693"/>
      <c r="N178" s="1693"/>
      <c r="O178" s="1693"/>
      <c r="P178" s="1693"/>
      <c r="Q178" s="1693"/>
      <c r="R178" s="1694"/>
      <c r="S178" s="1693"/>
      <c r="T178" s="1693"/>
      <c r="U178" s="1693"/>
      <c r="V178" s="1693"/>
      <c r="W178" s="1693"/>
    </row>
    <row r="179" spans="2:23" x14ac:dyDescent="0.2">
      <c r="B179" s="1524"/>
      <c r="C179" s="1648" t="s">
        <v>790</v>
      </c>
      <c r="D179" s="1649">
        <v>0.01</v>
      </c>
      <c r="E179" s="1662">
        <v>10000</v>
      </c>
      <c r="J179" s="1693"/>
      <c r="K179" s="1701"/>
      <c r="L179" s="1701"/>
      <c r="M179" s="1701"/>
      <c r="N179" s="1701"/>
      <c r="O179" s="1701"/>
      <c r="P179" s="1701"/>
      <c r="Q179" s="1701"/>
      <c r="R179" s="1703"/>
      <c r="S179" s="1701"/>
      <c r="T179" s="1701"/>
      <c r="U179" s="1701"/>
      <c r="V179" s="1701"/>
      <c r="W179" s="1701"/>
    </row>
    <row r="180" spans="2:23" x14ac:dyDescent="0.2">
      <c r="B180" s="1524"/>
      <c r="C180" s="1648" t="s">
        <v>791</v>
      </c>
      <c r="D180" s="1649">
        <v>0.01</v>
      </c>
      <c r="E180" s="1663">
        <v>10000</v>
      </c>
      <c r="J180" s="1704"/>
      <c r="K180" s="1695"/>
      <c r="L180" s="1696"/>
      <c r="M180" s="1688"/>
      <c r="N180" s="1689"/>
      <c r="O180" s="26"/>
      <c r="P180" s="1697"/>
      <c r="Q180" s="1697"/>
      <c r="R180" s="26"/>
      <c r="S180" s="1688"/>
      <c r="T180" s="1698"/>
      <c r="U180" s="1688"/>
      <c r="V180" s="1688"/>
      <c r="W180" s="1699"/>
    </row>
    <row r="181" spans="2:23" x14ac:dyDescent="0.2">
      <c r="B181" s="1664" t="s">
        <v>1407</v>
      </c>
      <c r="C181" s="1588"/>
      <c r="D181" s="1665"/>
      <c r="E181" s="1666">
        <f>E176+E177+E178+E179+E180</f>
        <v>50000</v>
      </c>
      <c r="J181" s="1704"/>
      <c r="K181" s="1695"/>
      <c r="L181" s="1696"/>
      <c r="M181" s="1688"/>
      <c r="N181" s="1689"/>
      <c r="O181" s="26"/>
      <c r="P181" s="1699"/>
      <c r="Q181" s="1697"/>
      <c r="R181" s="26"/>
      <c r="S181" s="1688"/>
      <c r="T181" s="1698"/>
      <c r="U181" s="1699"/>
      <c r="V181" s="1688"/>
      <c r="W181" s="1699"/>
    </row>
    <row r="182" spans="2:23" x14ac:dyDescent="0.2">
      <c r="J182" s="1704"/>
      <c r="K182" s="1700"/>
      <c r="L182" s="1696"/>
      <c r="M182" s="1688"/>
      <c r="N182" s="1689"/>
      <c r="O182" s="26"/>
      <c r="P182" s="1699"/>
      <c r="Q182" s="1697"/>
      <c r="R182" s="26"/>
      <c r="S182" s="1688"/>
      <c r="T182" s="1698"/>
      <c r="U182" s="1699"/>
      <c r="V182" s="1688"/>
      <c r="W182" s="1699"/>
    </row>
    <row r="183" spans="2:23" x14ac:dyDescent="0.2">
      <c r="B183" s="1643" t="s">
        <v>1191</v>
      </c>
      <c r="C183" s="1642"/>
      <c r="D183" s="1642"/>
      <c r="E183" s="1642"/>
      <c r="J183" s="1704"/>
      <c r="K183" s="1700"/>
      <c r="L183" s="1688"/>
      <c r="M183" s="1688"/>
      <c r="N183" s="1689"/>
      <c r="O183" s="26"/>
      <c r="P183" s="1699"/>
      <c r="Q183" s="1697"/>
      <c r="R183" s="26"/>
      <c r="S183" s="1688"/>
      <c r="T183" s="1698"/>
      <c r="U183" s="1699"/>
      <c r="V183" s="1699"/>
      <c r="W183" s="1699"/>
    </row>
    <row r="184" spans="2:23" x14ac:dyDescent="0.2">
      <c r="B184" s="1651" t="s">
        <v>1192</v>
      </c>
      <c r="C184" s="1676" t="s">
        <v>188</v>
      </c>
      <c r="D184" s="1655" t="s">
        <v>1138</v>
      </c>
      <c r="E184" s="1677" t="s">
        <v>1408</v>
      </c>
      <c r="J184" s="1690"/>
      <c r="K184" s="1693"/>
      <c r="L184" s="1690"/>
      <c r="M184" s="1690"/>
      <c r="N184" s="1690"/>
      <c r="O184" s="1690"/>
      <c r="P184" s="1690"/>
      <c r="Q184" s="1690"/>
      <c r="R184" s="1690"/>
      <c r="S184" s="1690"/>
      <c r="T184" s="1690"/>
      <c r="U184" s="1690"/>
      <c r="V184" s="1693"/>
      <c r="W184" s="1699"/>
    </row>
    <row r="185" spans="2:23" x14ac:dyDescent="0.2">
      <c r="B185" s="1678"/>
      <c r="C185" s="1648" t="s">
        <v>787</v>
      </c>
      <c r="D185" s="1518" t="s">
        <v>1409</v>
      </c>
      <c r="E185" s="1650">
        <v>10000</v>
      </c>
      <c r="J185" s="1705"/>
      <c r="K185" s="1701"/>
      <c r="L185" s="1691"/>
      <c r="M185" s="1691"/>
      <c r="N185" s="1691"/>
      <c r="O185" s="1691"/>
      <c r="P185" s="1691"/>
      <c r="Q185" s="1691"/>
      <c r="R185" s="1702"/>
      <c r="S185" s="1691"/>
      <c r="T185" s="1691"/>
      <c r="U185" s="1701"/>
      <c r="V185" s="1701"/>
      <c r="W185" s="1697"/>
    </row>
    <row r="186" spans="2:23" x14ac:dyDescent="0.2">
      <c r="B186" s="1524"/>
      <c r="C186" s="1648" t="s">
        <v>788</v>
      </c>
      <c r="D186" s="1518" t="s">
        <v>1409</v>
      </c>
      <c r="E186" s="1650">
        <v>1500</v>
      </c>
      <c r="J186" s="1706"/>
      <c r="K186" s="1695"/>
      <c r="L186" s="1696"/>
      <c r="M186" s="1688"/>
      <c r="N186" s="1689"/>
      <c r="O186" s="26"/>
      <c r="P186" s="1699"/>
      <c r="Q186" s="1697"/>
      <c r="R186" s="26"/>
      <c r="S186" s="1688"/>
      <c r="T186" s="1698"/>
      <c r="U186" s="1699"/>
      <c r="V186" s="1688"/>
      <c r="W186" s="1699"/>
    </row>
    <row r="187" spans="2:23" x14ac:dyDescent="0.2">
      <c r="B187" s="1524"/>
      <c r="C187" s="1648" t="s">
        <v>789</v>
      </c>
      <c r="D187" s="1518" t="s">
        <v>1409</v>
      </c>
      <c r="E187" s="1650">
        <v>1500</v>
      </c>
      <c r="J187" s="1706"/>
      <c r="K187" s="1700"/>
      <c r="L187" s="1688"/>
      <c r="M187" s="1688"/>
      <c r="N187" s="1689"/>
      <c r="O187" s="26"/>
      <c r="P187" s="1699"/>
      <c r="Q187" s="1697"/>
      <c r="R187" s="26"/>
      <c r="S187" s="1688"/>
      <c r="T187" s="1698"/>
      <c r="U187" s="1699"/>
      <c r="V187" s="1699"/>
      <c r="W187" s="1699"/>
    </row>
    <row r="188" spans="2:23" x14ac:dyDescent="0.2">
      <c r="B188" s="1524"/>
      <c r="C188" s="1648" t="s">
        <v>790</v>
      </c>
      <c r="D188" s="1518" t="s">
        <v>1409</v>
      </c>
      <c r="E188" s="1650">
        <v>1500</v>
      </c>
      <c r="J188" s="1688"/>
      <c r="K188" s="1688"/>
      <c r="L188" s="1688"/>
      <c r="M188" s="1688"/>
      <c r="N188" s="1688"/>
      <c r="O188" s="1688"/>
      <c r="P188" s="1688"/>
      <c r="Q188" s="1688"/>
      <c r="R188" s="26"/>
      <c r="S188" s="1688"/>
      <c r="T188" s="1688"/>
      <c r="U188" s="1688"/>
      <c r="V188" s="1707"/>
      <c r="W188" s="1699"/>
    </row>
    <row r="189" spans="2:23" x14ac:dyDescent="0.2">
      <c r="B189" s="1664"/>
      <c r="C189" s="1653" t="s">
        <v>791</v>
      </c>
      <c r="D189" s="1588" t="s">
        <v>1409</v>
      </c>
      <c r="E189" s="1654">
        <v>1500</v>
      </c>
    </row>
    <row r="190" spans="2:23" x14ac:dyDescent="0.2">
      <c r="B190" s="1517" t="s">
        <v>1194</v>
      </c>
      <c r="C190" s="1516"/>
      <c r="D190" s="1516"/>
      <c r="E190" s="1516"/>
    </row>
    <row r="196" spans="2:5" x14ac:dyDescent="0.2">
      <c r="B196" s="1471" t="s">
        <v>1195</v>
      </c>
      <c r="C196" s="146"/>
      <c r="D196" s="146"/>
      <c r="E196" s="146"/>
    </row>
    <row r="197" spans="2:5" x14ac:dyDescent="0.2">
      <c r="B197" s="1667"/>
      <c r="C197" s="1580"/>
      <c r="D197" s="1551" t="s">
        <v>1410</v>
      </c>
    </row>
    <row r="198" spans="2:5" x14ac:dyDescent="0.2">
      <c r="B198" s="1659" t="s">
        <v>1196</v>
      </c>
      <c r="C198" s="1580" t="s">
        <v>1411</v>
      </c>
      <c r="D198" s="1551"/>
    </row>
    <row r="199" spans="2:5" x14ac:dyDescent="0.2">
      <c r="B199" s="1524"/>
      <c r="C199" s="1518" t="s">
        <v>787</v>
      </c>
      <c r="D199" s="1668">
        <f>2*(2000+4000)+5000</f>
        <v>17000</v>
      </c>
    </row>
    <row r="200" spans="2:5" x14ac:dyDescent="0.2">
      <c r="B200" s="1669"/>
      <c r="C200" s="1518" t="s">
        <v>788</v>
      </c>
      <c r="D200" s="1668">
        <f>2*(2000+4000)+5000</f>
        <v>17000</v>
      </c>
    </row>
    <row r="201" spans="2:5" x14ac:dyDescent="0.2">
      <c r="B201" s="1633"/>
      <c r="C201" s="1518" t="s">
        <v>789</v>
      </c>
      <c r="D201" s="1668">
        <f>2*(2000+4000)+5000</f>
        <v>17000</v>
      </c>
    </row>
    <row r="202" spans="2:5" x14ac:dyDescent="0.2">
      <c r="B202" s="1633"/>
      <c r="C202" s="1518" t="s">
        <v>790</v>
      </c>
      <c r="D202" s="1668">
        <f>2*(2000+4000)+5000</f>
        <v>17000</v>
      </c>
    </row>
    <row r="203" spans="2:5" x14ac:dyDescent="0.2">
      <c r="B203" s="1637"/>
      <c r="C203" s="1588" t="s">
        <v>791</v>
      </c>
      <c r="D203" s="1670">
        <f>2*(2000+4000)+5000</f>
        <v>17000</v>
      </c>
    </row>
    <row r="204" spans="2:5" x14ac:dyDescent="0.2">
      <c r="B204" s="1659" t="s">
        <v>1199</v>
      </c>
      <c r="C204" s="1580" t="s">
        <v>787</v>
      </c>
      <c r="D204" s="1671">
        <v>7800</v>
      </c>
    </row>
    <row r="205" spans="2:5" x14ac:dyDescent="0.2">
      <c r="B205" s="1672"/>
      <c r="C205" s="1518" t="s">
        <v>788</v>
      </c>
      <c r="D205" s="1673">
        <v>7800</v>
      </c>
    </row>
    <row r="206" spans="2:5" x14ac:dyDescent="0.2">
      <c r="B206" s="1672"/>
      <c r="C206" s="1518" t="s">
        <v>789</v>
      </c>
      <c r="D206" s="1673">
        <v>7800</v>
      </c>
    </row>
    <row r="207" spans="2:5" x14ac:dyDescent="0.2">
      <c r="B207" s="1674"/>
      <c r="C207" s="1518" t="s">
        <v>790</v>
      </c>
      <c r="D207" s="1673">
        <v>7800</v>
      </c>
    </row>
    <row r="208" spans="2:5" x14ac:dyDescent="0.2">
      <c r="B208" s="1574"/>
      <c r="C208" s="1588" t="s">
        <v>791</v>
      </c>
      <c r="D208" s="1675">
        <v>7800</v>
      </c>
    </row>
    <row r="209" spans="2:5" x14ac:dyDescent="0.2">
      <c r="B209" s="1643" t="s">
        <v>1201</v>
      </c>
      <c r="C209" s="146"/>
      <c r="D209" s="146"/>
      <c r="E209" s="146"/>
    </row>
  </sheetData>
  <hyperlinks>
    <hyperlink ref="E168" r:id="rId1" xr:uid="{743EF33F-6662-7548-ACBB-B98268E0361F}"/>
    <hyperlink ref="E169" r:id="rId2" display="https://mommyonpurpose.com/" xr:uid="{507E485E-7F55-D945-A0AA-BBA40B3B2EAD}"/>
    <hyperlink ref="E170" r:id="rId3" xr:uid="{C62F9987-5117-DA4C-BCB7-11992BD33C83}"/>
    <hyperlink ref="E171" r:id="rId4" xr:uid="{D7DAAC35-8B91-2C4A-A93E-42D312A38860}"/>
    <hyperlink ref="E172" r:id="rId5" xr:uid="{0F930CB9-739A-BE42-986D-1E17333F239B}"/>
    <hyperlink ref="E173" r:id="rId6" xr:uid="{E01E7C94-F8F5-0C4F-9394-4460EAFDBFFD}"/>
    <hyperlink ref="E174" r:id="rId7" xr:uid="{5820435C-A884-224C-B786-B6AC25003FC8}"/>
    <hyperlink ref="E175" r:id="rId8" xr:uid="{89AE6768-1A4A-F84B-8F4B-8250F6D916F3}"/>
    <hyperlink ref="B1" location="Index!A1" display="Back to Index" xr:uid="{4C2011C2-F376-4B13-A622-C41B9B0D678B}"/>
  </hyperlinks>
  <pageMargins left="0.7" right="0.7" top="0.75" bottom="0.75" header="0.3" footer="0.3"/>
  <legacyDrawing r:id="rId9"/>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48CB3-52C2-0146-9762-5FD7B78A6C4D}">
  <sheetPr published="0">
    <tabColor rgb="FF00B0F0"/>
  </sheetPr>
  <dimension ref="B1:AM105"/>
  <sheetViews>
    <sheetView showGridLines="0" zoomScale="94" workbookViewId="0"/>
  </sheetViews>
  <sheetFormatPr baseColWidth="10" defaultColWidth="11.5" defaultRowHeight="15" x14ac:dyDescent="0.2"/>
  <cols>
    <col min="1" max="1" width="1.83203125" customWidth="1"/>
    <col min="2" max="2" width="18.1640625" customWidth="1"/>
    <col min="3" max="4" width="15.83203125" customWidth="1"/>
    <col min="5" max="8" width="13.83203125" customWidth="1"/>
    <col min="11" max="11" width="16.1640625" customWidth="1"/>
    <col min="12" max="12" width="40" customWidth="1"/>
    <col min="16" max="16" width="28.1640625" customWidth="1"/>
    <col min="22" max="22" width="17.33203125" customWidth="1"/>
    <col min="24" max="24" width="13.6640625" customWidth="1"/>
    <col min="25" max="25" width="16.6640625" customWidth="1"/>
    <col min="27" max="27" width="21" customWidth="1"/>
  </cols>
  <sheetData>
    <row r="1" spans="2:39" x14ac:dyDescent="0.2">
      <c r="B1" s="56" t="s">
        <v>37</v>
      </c>
    </row>
    <row r="3" spans="2:39" x14ac:dyDescent="0.2">
      <c r="B3" s="1818" t="s">
        <v>34</v>
      </c>
      <c r="C3" s="1818"/>
      <c r="D3" s="1818"/>
      <c r="E3" s="1818"/>
      <c r="F3" s="1818"/>
      <c r="G3" s="1818"/>
      <c r="H3" s="1818"/>
      <c r="I3" s="1818"/>
      <c r="J3" s="1818"/>
      <c r="K3" s="1818"/>
      <c r="L3" s="1818"/>
      <c r="M3" s="1818"/>
      <c r="N3" s="1818"/>
      <c r="O3" s="1818"/>
      <c r="P3" s="1818"/>
    </row>
    <row r="5" spans="2:39" ht="45" customHeight="1" x14ac:dyDescent="0.3">
      <c r="B5" s="821" t="s">
        <v>1412</v>
      </c>
      <c r="K5" s="821" t="s">
        <v>1413</v>
      </c>
      <c r="Q5" s="3"/>
      <c r="R5" s="3"/>
      <c r="S5" s="3"/>
      <c r="T5" s="3"/>
      <c r="W5" s="3"/>
      <c r="AC5" s="3"/>
      <c r="AD5" s="3"/>
      <c r="AE5" s="3"/>
      <c r="AF5" s="3"/>
      <c r="AG5" s="3"/>
      <c r="AH5" s="3"/>
      <c r="AI5" s="3"/>
      <c r="AJ5" s="3"/>
      <c r="AK5" s="3"/>
      <c r="AL5" s="3"/>
      <c r="AM5" s="3"/>
    </row>
    <row r="6" spans="2:39" ht="76" customHeight="1" thickBot="1" x14ac:dyDescent="0.25">
      <c r="B6" s="1870" t="s">
        <v>1414</v>
      </c>
      <c r="C6" s="1870"/>
      <c r="D6" s="1870"/>
      <c r="E6" s="1870"/>
      <c r="F6" s="1870"/>
      <c r="G6" s="1870"/>
      <c r="H6" s="1870"/>
      <c r="I6" s="3"/>
      <c r="K6" s="1874" t="s">
        <v>1415</v>
      </c>
      <c r="L6" s="1874"/>
      <c r="Q6" s="3"/>
      <c r="R6" s="3"/>
      <c r="S6" s="3"/>
      <c r="T6" s="3"/>
      <c r="AC6" s="3"/>
      <c r="AD6" s="3"/>
      <c r="AE6" s="3"/>
      <c r="AF6" s="3"/>
      <c r="AG6" s="3"/>
      <c r="AH6" s="3"/>
      <c r="AI6" s="3"/>
      <c r="AJ6" s="3"/>
      <c r="AK6" s="3"/>
      <c r="AL6" s="3"/>
      <c r="AM6" s="3"/>
    </row>
    <row r="7" spans="2:39" ht="32.25" customHeight="1" x14ac:dyDescent="0.2">
      <c r="B7" s="1680" t="s">
        <v>1021</v>
      </c>
      <c r="C7" s="1869" t="s">
        <v>1022</v>
      </c>
      <c r="D7" s="1869"/>
      <c r="E7" s="1869"/>
      <c r="F7" s="1869"/>
      <c r="G7" s="1869"/>
      <c r="H7" s="1869"/>
      <c r="I7" s="3"/>
      <c r="K7" s="1264"/>
      <c r="L7" s="1265" t="s">
        <v>43</v>
      </c>
      <c r="M7" s="3" t="s">
        <v>787</v>
      </c>
      <c r="P7" s="1873" t="s">
        <v>1416</v>
      </c>
      <c r="Q7" s="931"/>
      <c r="R7" s="3"/>
      <c r="S7" s="3"/>
      <c r="T7" s="3"/>
      <c r="AC7" s="3"/>
      <c r="AD7" s="3"/>
      <c r="AE7" s="3"/>
      <c r="AF7" s="3"/>
      <c r="AG7" s="3"/>
      <c r="AH7" s="3"/>
      <c r="AI7" s="3"/>
      <c r="AJ7" s="3"/>
      <c r="AK7" s="3"/>
      <c r="AL7" s="3"/>
      <c r="AM7" s="3"/>
    </row>
    <row r="8" spans="2:39" ht="16" x14ac:dyDescent="0.2">
      <c r="B8" s="1681" t="s">
        <v>1417</v>
      </c>
      <c r="C8" s="1682" t="s">
        <v>1418</v>
      </c>
      <c r="D8" s="1682" t="s">
        <v>1027</v>
      </c>
      <c r="E8" s="1682" t="s">
        <v>1419</v>
      </c>
      <c r="F8" s="1682" t="s">
        <v>1029</v>
      </c>
      <c r="G8" s="1682" t="s">
        <v>1070</v>
      </c>
      <c r="H8" s="1682" t="s">
        <v>1031</v>
      </c>
      <c r="I8" s="3"/>
      <c r="K8" s="677" t="s">
        <v>799</v>
      </c>
      <c r="L8" s="680">
        <v>7055349</v>
      </c>
      <c r="M8" s="109">
        <v>6760000</v>
      </c>
      <c r="P8" s="1873"/>
      <c r="Q8" s="3"/>
      <c r="R8" s="3"/>
      <c r="S8" s="3"/>
      <c r="T8" s="3"/>
      <c r="W8" s="3"/>
      <c r="AC8" s="3"/>
      <c r="AD8" s="3"/>
      <c r="AE8" s="3"/>
      <c r="AF8" s="3"/>
      <c r="AG8" s="3"/>
      <c r="AH8" s="3"/>
      <c r="AI8" s="3"/>
      <c r="AJ8" s="3"/>
      <c r="AK8" s="3"/>
      <c r="AL8" s="3"/>
      <c r="AM8" s="3"/>
    </row>
    <row r="9" spans="2:39" ht="16" thickBot="1" x14ac:dyDescent="0.25">
      <c r="B9" s="933">
        <v>72.5</v>
      </c>
      <c r="C9" s="3">
        <v>7</v>
      </c>
      <c r="D9" s="3">
        <v>12</v>
      </c>
      <c r="E9" s="3">
        <v>15</v>
      </c>
      <c r="F9" s="3">
        <v>25</v>
      </c>
      <c r="G9" s="3">
        <v>4</v>
      </c>
      <c r="H9" s="3">
        <v>63</v>
      </c>
      <c r="I9" s="3"/>
      <c r="K9" s="677" t="s">
        <v>1050</v>
      </c>
      <c r="L9" s="682">
        <v>0.11310000000000001</v>
      </c>
      <c r="P9" s="1873"/>
      <c r="Q9" s="3"/>
      <c r="R9" s="3"/>
      <c r="S9" s="3"/>
      <c r="T9" s="3"/>
      <c r="W9" s="3"/>
      <c r="AC9" s="3"/>
      <c r="AD9" s="3"/>
      <c r="AE9" s="3"/>
      <c r="AF9" s="3"/>
      <c r="AG9" s="3"/>
      <c r="AH9" s="3"/>
      <c r="AI9" s="3"/>
      <c r="AJ9" s="3"/>
      <c r="AK9" s="3"/>
      <c r="AL9" s="3"/>
      <c r="AM9" s="3"/>
    </row>
    <row r="10" spans="2:39" x14ac:dyDescent="0.2">
      <c r="B10" s="933">
        <v>95.5</v>
      </c>
      <c r="C10" s="3">
        <v>2</v>
      </c>
      <c r="D10" s="3">
        <v>4</v>
      </c>
      <c r="E10" s="3">
        <v>11</v>
      </c>
      <c r="F10" s="683">
        <v>18</v>
      </c>
      <c r="G10" s="684">
        <v>2</v>
      </c>
      <c r="H10" s="3">
        <v>37</v>
      </c>
      <c r="I10" s="3"/>
      <c r="K10" s="932" t="s">
        <v>801</v>
      </c>
      <c r="L10" s="685">
        <v>0.22770000000000001</v>
      </c>
      <c r="P10" s="1873"/>
      <c r="Q10" s="3"/>
      <c r="R10" s="3"/>
      <c r="S10" s="3"/>
      <c r="T10" s="3"/>
      <c r="W10" s="3"/>
      <c r="AC10" s="3"/>
      <c r="AD10" s="3"/>
      <c r="AE10" s="3"/>
      <c r="AF10" s="3"/>
      <c r="AG10" s="3"/>
      <c r="AH10" s="3"/>
      <c r="AI10" s="3"/>
      <c r="AJ10" s="3"/>
      <c r="AK10" s="3"/>
      <c r="AL10" s="3"/>
      <c r="AM10" s="3"/>
    </row>
    <row r="11" spans="2:39" x14ac:dyDescent="0.2">
      <c r="B11" s="933">
        <v>118.5</v>
      </c>
      <c r="C11" s="3">
        <v>1</v>
      </c>
      <c r="D11" s="3">
        <v>3</v>
      </c>
      <c r="E11" s="3">
        <v>2</v>
      </c>
      <c r="F11" s="686">
        <v>10</v>
      </c>
      <c r="G11" s="687"/>
      <c r="H11" s="3">
        <v>16</v>
      </c>
      <c r="I11" s="3"/>
      <c r="K11" s="677" t="s">
        <v>1420</v>
      </c>
      <c r="L11" s="681">
        <v>181719</v>
      </c>
      <c r="P11" s="1873"/>
      <c r="Q11" s="3"/>
      <c r="R11" s="3"/>
      <c r="S11" s="3"/>
      <c r="T11" s="3"/>
      <c r="W11" s="3"/>
      <c r="AC11" s="3"/>
      <c r="AD11" s="3"/>
      <c r="AE11" s="3"/>
      <c r="AF11" s="3"/>
      <c r="AG11" s="3"/>
      <c r="AH11" s="3"/>
      <c r="AI11" s="3"/>
      <c r="AJ11" s="3"/>
      <c r="AK11" s="3"/>
      <c r="AL11" s="3"/>
      <c r="AM11" s="3"/>
    </row>
    <row r="12" spans="2:39" x14ac:dyDescent="0.2">
      <c r="B12" s="933">
        <v>141.5</v>
      </c>
      <c r="C12" s="3"/>
      <c r="D12" s="3"/>
      <c r="E12" s="3"/>
      <c r="F12" s="686">
        <v>2</v>
      </c>
      <c r="G12" s="687">
        <v>1</v>
      </c>
      <c r="H12" s="3">
        <v>3</v>
      </c>
      <c r="I12" s="3"/>
      <c r="K12" s="677" t="s">
        <v>1421</v>
      </c>
      <c r="L12" s="688">
        <v>85</v>
      </c>
      <c r="Q12" s="3"/>
      <c r="R12" s="3"/>
      <c r="S12" s="3"/>
      <c r="T12" s="3"/>
      <c r="W12" s="3"/>
      <c r="AC12" s="3"/>
      <c r="AD12" s="3"/>
      <c r="AE12" s="3"/>
      <c r="AF12" s="3"/>
      <c r="AG12" s="3"/>
      <c r="AH12" s="3"/>
      <c r="AI12" s="3"/>
      <c r="AJ12" s="3"/>
      <c r="AK12" s="3"/>
      <c r="AL12" s="3"/>
      <c r="AM12" s="3"/>
    </row>
    <row r="13" spans="2:39" ht="16" thickBot="1" x14ac:dyDescent="0.25">
      <c r="B13" s="933">
        <v>164.5</v>
      </c>
      <c r="C13" s="3"/>
      <c r="D13" s="3"/>
      <c r="E13" s="3"/>
      <c r="F13" s="689"/>
      <c r="G13" s="690">
        <v>3</v>
      </c>
      <c r="H13" s="3">
        <v>3</v>
      </c>
      <c r="I13" s="3"/>
      <c r="K13" s="691" t="s">
        <v>1422</v>
      </c>
      <c r="L13" s="1263">
        <f>L11*L12</f>
        <v>15446115</v>
      </c>
      <c r="Q13" s="3"/>
      <c r="R13" s="3"/>
      <c r="S13" s="3"/>
      <c r="T13" s="3"/>
      <c r="W13" s="3"/>
      <c r="AC13" s="3"/>
      <c r="AD13" s="3"/>
      <c r="AE13" s="3"/>
      <c r="AF13" s="3"/>
      <c r="AG13" s="3"/>
      <c r="AH13" s="3"/>
      <c r="AI13" s="3"/>
      <c r="AJ13" s="3"/>
      <c r="AK13" s="3"/>
      <c r="AL13" s="3"/>
      <c r="AM13" s="3"/>
    </row>
    <row r="14" spans="2:39" ht="16" thickBot="1" x14ac:dyDescent="0.25">
      <c r="B14" s="1683" t="s">
        <v>1031</v>
      </c>
      <c r="C14" s="1684">
        <v>10</v>
      </c>
      <c r="D14" s="1684">
        <v>19</v>
      </c>
      <c r="E14" s="1684">
        <v>28</v>
      </c>
      <c r="F14" s="1684">
        <v>55</v>
      </c>
      <c r="G14" s="1684">
        <v>10</v>
      </c>
      <c r="H14" s="1684">
        <v>122</v>
      </c>
      <c r="I14" s="3"/>
      <c r="K14" s="677" t="s">
        <v>1423</v>
      </c>
      <c r="L14" s="692">
        <v>0</v>
      </c>
      <c r="Q14" s="3"/>
      <c r="R14" s="3"/>
      <c r="S14" s="3"/>
      <c r="T14" s="3"/>
      <c r="W14" s="3"/>
      <c r="AC14" s="3"/>
      <c r="AD14" s="3"/>
      <c r="AE14" s="3"/>
      <c r="AF14" s="3"/>
      <c r="AG14" s="3"/>
      <c r="AH14" s="3"/>
      <c r="AI14" s="3"/>
      <c r="AJ14" s="3"/>
      <c r="AK14" s="3"/>
      <c r="AL14" s="3"/>
      <c r="AM14" s="3"/>
    </row>
    <row r="15" spans="2:39" ht="16" thickBot="1" x14ac:dyDescent="0.25">
      <c r="B15" s="3"/>
      <c r="C15" s="693" t="s">
        <v>1424</v>
      </c>
      <c r="D15" s="694" t="s">
        <v>1425</v>
      </c>
      <c r="E15" s="694" t="s">
        <v>1426</v>
      </c>
      <c r="F15" s="694" t="s">
        <v>1427</v>
      </c>
      <c r="G15" s="695" t="s">
        <v>1050</v>
      </c>
      <c r="H15" s="3"/>
      <c r="I15" s="3"/>
      <c r="K15" s="677" t="s">
        <v>1428</v>
      </c>
      <c r="L15" s="692">
        <v>0</v>
      </c>
      <c r="Q15" s="3"/>
      <c r="R15" s="3"/>
      <c r="S15" s="3"/>
      <c r="T15" s="3"/>
      <c r="W15" s="3"/>
      <c r="AC15" s="3"/>
      <c r="AD15" s="3"/>
      <c r="AE15" s="3"/>
      <c r="AF15" s="3"/>
      <c r="AG15" s="3"/>
      <c r="AH15" s="3"/>
      <c r="AI15" s="3"/>
      <c r="AJ15" s="3"/>
      <c r="AK15" s="3"/>
      <c r="AL15" s="3"/>
      <c r="AM15" s="3"/>
    </row>
    <row r="16" spans="2:39" x14ac:dyDescent="0.2">
      <c r="B16" s="3"/>
      <c r="C16" s="677" t="s">
        <v>1029</v>
      </c>
      <c r="D16" s="3">
        <v>30</v>
      </c>
      <c r="E16" s="3">
        <v>9</v>
      </c>
      <c r="F16" s="87">
        <v>7.3800000000000004E-2</v>
      </c>
      <c r="G16" s="817">
        <v>0.11310000000000001</v>
      </c>
      <c r="H16" s="3"/>
      <c r="I16" s="3"/>
      <c r="K16" s="677" t="s">
        <v>1429</v>
      </c>
      <c r="L16" s="692">
        <v>0</v>
      </c>
      <c r="Q16" s="3"/>
      <c r="R16" s="3"/>
      <c r="S16" s="3"/>
      <c r="T16" s="3"/>
      <c r="W16" s="3"/>
      <c r="AC16" s="3"/>
      <c r="AD16" s="3"/>
      <c r="AE16" s="3"/>
      <c r="AF16" s="3"/>
      <c r="AG16" s="71"/>
      <c r="AH16" s="3"/>
      <c r="AI16" s="3"/>
      <c r="AJ16" s="3"/>
      <c r="AK16" s="3"/>
      <c r="AL16" s="3"/>
      <c r="AM16" s="3"/>
    </row>
    <row r="17" spans="2:39" ht="16" thickBot="1" x14ac:dyDescent="0.25">
      <c r="B17" s="3"/>
      <c r="C17" s="697" t="s">
        <v>1030</v>
      </c>
      <c r="D17" s="84">
        <v>6</v>
      </c>
      <c r="E17" s="84">
        <v>4.8</v>
      </c>
      <c r="F17" s="698">
        <v>3.9300000000000002E-2</v>
      </c>
      <c r="G17" s="818"/>
      <c r="H17" s="3"/>
      <c r="I17" s="3"/>
      <c r="K17" s="677" t="s">
        <v>1430</v>
      </c>
      <c r="L17" s="688">
        <v>85</v>
      </c>
      <c r="M17" s="3"/>
      <c r="N17" s="3"/>
      <c r="O17" s="3"/>
      <c r="P17" s="3"/>
      <c r="Q17" s="3"/>
      <c r="R17" s="3"/>
      <c r="S17" s="3"/>
      <c r="T17" s="3"/>
      <c r="W17" s="3"/>
      <c r="AC17" s="3"/>
      <c r="AD17" s="3"/>
      <c r="AE17" s="3"/>
      <c r="AF17" s="3"/>
      <c r="AG17" s="303"/>
      <c r="AH17" s="303"/>
      <c r="AI17" s="3"/>
      <c r="AJ17" s="3"/>
      <c r="AK17" s="3"/>
      <c r="AL17" s="3"/>
      <c r="AM17" s="3"/>
    </row>
    <row r="18" spans="2:39" x14ac:dyDescent="0.2">
      <c r="I18" s="3"/>
      <c r="J18" s="3"/>
      <c r="K18" s="677" t="s">
        <v>1431</v>
      </c>
      <c r="L18" s="692">
        <v>0</v>
      </c>
      <c r="M18" s="3"/>
      <c r="N18" s="3"/>
      <c r="O18" s="3"/>
      <c r="P18" s="3"/>
      <c r="Q18" s="3"/>
      <c r="R18" s="3"/>
      <c r="S18" s="3"/>
      <c r="T18" s="3"/>
      <c r="W18" s="3"/>
      <c r="AC18" s="3"/>
      <c r="AD18" s="3"/>
      <c r="AE18" s="3"/>
      <c r="AF18" s="3"/>
      <c r="AG18" s="87"/>
      <c r="AH18" s="3"/>
      <c r="AI18" s="3"/>
      <c r="AJ18" s="3"/>
      <c r="AK18" s="3"/>
      <c r="AL18" s="3"/>
      <c r="AM18" s="3"/>
    </row>
    <row r="19" spans="2:39" ht="16" thickBot="1" x14ac:dyDescent="0.25">
      <c r="I19" s="3"/>
      <c r="J19" s="3"/>
      <c r="K19" s="700" t="s">
        <v>1053</v>
      </c>
      <c r="L19" s="701">
        <v>15446115</v>
      </c>
      <c r="M19" s="3"/>
      <c r="N19" s="3"/>
      <c r="O19" s="3"/>
      <c r="P19" s="3"/>
      <c r="Q19" s="3"/>
      <c r="R19" s="3"/>
      <c r="S19" s="3"/>
      <c r="T19" s="3"/>
      <c r="U19" s="3"/>
      <c r="V19" s="3"/>
      <c r="W19" s="3"/>
      <c r="AC19" s="3"/>
      <c r="AD19" s="3"/>
      <c r="AE19" s="3"/>
      <c r="AF19" s="3"/>
      <c r="AG19" s="87"/>
      <c r="AH19" s="3"/>
      <c r="AI19" s="3"/>
      <c r="AJ19" s="3"/>
      <c r="AK19" s="3"/>
      <c r="AL19" s="3"/>
      <c r="AM19" s="3"/>
    </row>
    <row r="20" spans="2:39" x14ac:dyDescent="0.2">
      <c r="I20" s="3"/>
      <c r="J20" s="3"/>
      <c r="Q20" s="3"/>
      <c r="R20" s="3"/>
      <c r="S20" s="3"/>
      <c r="T20" s="3"/>
      <c r="U20" s="3"/>
      <c r="V20" s="3"/>
      <c r="W20" s="3"/>
      <c r="AB20" s="3"/>
      <c r="AC20" s="3"/>
      <c r="AD20" s="3"/>
      <c r="AE20" s="3"/>
      <c r="AF20" s="3"/>
      <c r="AG20" s="303"/>
      <c r="AH20" s="3"/>
      <c r="AI20" s="3"/>
      <c r="AJ20" s="3"/>
      <c r="AK20" s="3"/>
      <c r="AL20" s="3"/>
      <c r="AM20" s="3"/>
    </row>
    <row r="21" spans="2:39" x14ac:dyDescent="0.2">
      <c r="I21" s="3"/>
      <c r="Q21" s="3"/>
      <c r="R21" s="3"/>
      <c r="S21" s="3"/>
      <c r="T21" s="3"/>
      <c r="U21" s="3"/>
      <c r="V21" s="3"/>
      <c r="W21" s="3"/>
      <c r="AB21" s="3"/>
      <c r="AC21" s="3"/>
      <c r="AD21" s="3"/>
      <c r="AE21" s="3"/>
      <c r="AF21" s="3"/>
      <c r="AG21" s="702"/>
      <c r="AH21" s="3"/>
      <c r="AI21" s="3"/>
      <c r="AJ21" s="3"/>
      <c r="AK21" s="3"/>
      <c r="AL21" s="3"/>
      <c r="AM21" s="3"/>
    </row>
    <row r="22" spans="2:39" ht="16" thickBot="1" x14ac:dyDescent="0.25">
      <c r="B22" s="1870" t="s">
        <v>1432</v>
      </c>
      <c r="C22" s="1870"/>
      <c r="D22" s="1870"/>
      <c r="E22" s="1870"/>
      <c r="F22" s="1870"/>
      <c r="G22" s="1870"/>
      <c r="H22" s="1870"/>
      <c r="I22" s="3"/>
      <c r="K22" s="67" t="s">
        <v>1433</v>
      </c>
      <c r="L22" s="3"/>
      <c r="M22" s="3"/>
      <c r="N22" s="3"/>
      <c r="O22" s="3"/>
      <c r="Q22" s="931"/>
      <c r="R22" s="3"/>
      <c r="S22" s="3"/>
      <c r="T22" s="3"/>
      <c r="U22" s="3"/>
      <c r="V22" s="3"/>
      <c r="W22" s="3"/>
      <c r="AB22" s="3"/>
      <c r="AC22" s="3"/>
      <c r="AD22" s="3"/>
      <c r="AE22" s="3"/>
      <c r="AF22" s="172"/>
      <c r="AG22" s="3"/>
      <c r="AH22" s="3"/>
      <c r="AI22" s="3"/>
      <c r="AJ22" s="3"/>
      <c r="AK22" s="3"/>
      <c r="AL22" s="3"/>
      <c r="AM22" s="3"/>
    </row>
    <row r="23" spans="2:39" ht="32" x14ac:dyDescent="0.2">
      <c r="B23" s="1680" t="s">
        <v>1021</v>
      </c>
      <c r="C23" s="1869" t="s">
        <v>1022</v>
      </c>
      <c r="D23" s="1869"/>
      <c r="E23" s="1869"/>
      <c r="F23" s="1869"/>
      <c r="G23" s="1869"/>
      <c r="H23" s="1869"/>
      <c r="I23" s="3"/>
      <c r="K23" s="1261"/>
      <c r="L23" s="1262" t="s">
        <v>43</v>
      </c>
      <c r="M23" s="3" t="s">
        <v>787</v>
      </c>
      <c r="N23" s="3"/>
      <c r="Q23" s="3"/>
      <c r="R23" s="3"/>
      <c r="S23" s="3"/>
      <c r="T23" s="3"/>
      <c r="U23" s="3"/>
      <c r="V23" s="3"/>
      <c r="W23" s="3"/>
      <c r="AB23" s="3"/>
      <c r="AC23" s="3"/>
      <c r="AD23" s="3"/>
      <c r="AE23" s="3"/>
      <c r="AF23" s="3"/>
      <c r="AG23" s="3"/>
      <c r="AH23" s="3"/>
      <c r="AI23" s="3"/>
      <c r="AJ23" s="3"/>
      <c r="AK23" s="3"/>
      <c r="AL23" s="3"/>
      <c r="AM23" s="3"/>
    </row>
    <row r="24" spans="2:39" ht="16" x14ac:dyDescent="0.2">
      <c r="B24" s="1681" t="s">
        <v>1417</v>
      </c>
      <c r="C24" s="1682" t="s">
        <v>1418</v>
      </c>
      <c r="D24" s="1682" t="s">
        <v>1027</v>
      </c>
      <c r="E24" s="1682" t="s">
        <v>1419</v>
      </c>
      <c r="F24" s="1682" t="s">
        <v>1029</v>
      </c>
      <c r="G24" s="1682" t="s">
        <v>1070</v>
      </c>
      <c r="H24" s="1682" t="s">
        <v>1031</v>
      </c>
      <c r="I24" s="3"/>
      <c r="K24" s="677" t="s">
        <v>799</v>
      </c>
      <c r="L24" s="681">
        <v>7372691</v>
      </c>
      <c r="M24" s="303">
        <v>7064058</v>
      </c>
      <c r="N24" s="3"/>
      <c r="Q24" s="3"/>
      <c r="R24" s="3"/>
      <c r="S24" s="3"/>
      <c r="T24" s="3"/>
      <c r="U24" s="3"/>
      <c r="V24" s="3"/>
      <c r="W24" s="3"/>
      <c r="AB24" s="3"/>
      <c r="AC24" s="3"/>
      <c r="AD24" s="3"/>
      <c r="AE24" s="3"/>
      <c r="AF24" s="3"/>
      <c r="AG24" s="3"/>
      <c r="AH24" s="3"/>
      <c r="AI24" s="3"/>
      <c r="AJ24" s="3"/>
      <c r="AK24" s="3"/>
      <c r="AL24" s="3"/>
      <c r="AM24" s="3"/>
    </row>
    <row r="25" spans="2:39" ht="16" thickBot="1" x14ac:dyDescent="0.25">
      <c r="B25" s="933">
        <v>72.5</v>
      </c>
      <c r="C25" s="3">
        <v>7</v>
      </c>
      <c r="D25" s="3">
        <v>12</v>
      </c>
      <c r="E25" s="3">
        <v>15</v>
      </c>
      <c r="F25" s="3">
        <v>24</v>
      </c>
      <c r="G25" s="3">
        <v>4</v>
      </c>
      <c r="H25" s="3">
        <v>62</v>
      </c>
      <c r="I25" s="3"/>
      <c r="K25" s="677" t="s">
        <v>1050</v>
      </c>
      <c r="L25" s="682">
        <v>0.11310000000000001</v>
      </c>
      <c r="M25" s="3"/>
      <c r="N25" s="3"/>
      <c r="O25" s="3"/>
      <c r="Q25" s="3"/>
      <c r="R25" s="3"/>
      <c r="S25" s="3"/>
      <c r="T25" s="3"/>
      <c r="U25" s="3"/>
      <c r="V25" s="3"/>
      <c r="W25" s="3"/>
      <c r="AB25" s="3"/>
      <c r="AC25" s="3"/>
      <c r="AD25" s="3"/>
      <c r="AE25" s="3"/>
      <c r="AF25" s="3"/>
      <c r="AG25" s="3"/>
      <c r="AH25" s="3"/>
      <c r="AI25" s="3"/>
      <c r="AJ25" s="3"/>
      <c r="AK25" s="3"/>
      <c r="AL25" s="3"/>
      <c r="AM25" s="3"/>
    </row>
    <row r="26" spans="2:39" x14ac:dyDescent="0.2">
      <c r="B26" s="933">
        <v>95.5</v>
      </c>
      <c r="C26" s="3">
        <v>2</v>
      </c>
      <c r="D26" s="3">
        <v>3</v>
      </c>
      <c r="E26" s="3">
        <v>11</v>
      </c>
      <c r="F26" s="683">
        <v>18</v>
      </c>
      <c r="G26" s="684">
        <v>2</v>
      </c>
      <c r="H26" s="3">
        <v>36</v>
      </c>
      <c r="I26" s="3"/>
      <c r="K26" s="677" t="s">
        <v>801</v>
      </c>
      <c r="L26" s="682">
        <v>0.2273</v>
      </c>
      <c r="M26" s="3"/>
      <c r="N26" s="3"/>
      <c r="O26" s="3"/>
      <c r="Q26" s="3"/>
      <c r="R26" s="3"/>
      <c r="S26" s="3"/>
      <c r="T26" s="3"/>
      <c r="U26" s="3"/>
      <c r="V26" s="3"/>
      <c r="W26" s="3"/>
      <c r="AB26" s="3"/>
      <c r="AC26" s="3"/>
      <c r="AD26" s="3"/>
      <c r="AE26" s="3"/>
      <c r="AF26" s="3"/>
      <c r="AG26" s="702"/>
      <c r="AH26" s="3"/>
      <c r="AI26" s="3"/>
      <c r="AJ26" s="3"/>
      <c r="AK26" s="3"/>
      <c r="AL26" s="3"/>
      <c r="AM26" s="3"/>
    </row>
    <row r="27" spans="2:39" x14ac:dyDescent="0.2">
      <c r="B27" s="933">
        <v>118.5</v>
      </c>
      <c r="C27" s="3">
        <v>1</v>
      </c>
      <c r="D27" s="3">
        <v>3</v>
      </c>
      <c r="E27" s="3">
        <v>1</v>
      </c>
      <c r="F27" s="686">
        <v>10</v>
      </c>
      <c r="G27" s="687"/>
      <c r="H27" s="3">
        <v>15</v>
      </c>
      <c r="I27" s="3"/>
      <c r="K27" s="677" t="s">
        <v>1420</v>
      </c>
      <c r="L27" s="681">
        <v>189559</v>
      </c>
      <c r="M27" s="3"/>
      <c r="N27" s="3"/>
      <c r="O27" s="3"/>
      <c r="Q27" s="3"/>
      <c r="R27" s="3"/>
      <c r="S27" s="3"/>
      <c r="T27" s="3"/>
      <c r="U27" s="3"/>
      <c r="V27" s="3"/>
      <c r="W27" s="3"/>
      <c r="AB27" s="3"/>
      <c r="AC27" s="3"/>
      <c r="AD27" s="3"/>
      <c r="AE27" s="3"/>
      <c r="AF27" s="3"/>
      <c r="AG27" s="3"/>
      <c r="AH27" s="3"/>
      <c r="AI27" s="3"/>
      <c r="AJ27" s="3"/>
      <c r="AK27" s="3"/>
      <c r="AL27" s="3"/>
      <c r="AM27" s="3"/>
    </row>
    <row r="28" spans="2:39" ht="20.25" customHeight="1" x14ac:dyDescent="0.2">
      <c r="B28" s="933">
        <v>141.5</v>
      </c>
      <c r="C28" s="3"/>
      <c r="D28" s="3"/>
      <c r="E28" s="3"/>
      <c r="F28" s="686">
        <v>2</v>
      </c>
      <c r="G28" s="687">
        <v>1</v>
      </c>
      <c r="H28" s="3">
        <v>3</v>
      </c>
      <c r="I28" s="3"/>
      <c r="K28" s="677" t="s">
        <v>1421</v>
      </c>
      <c r="L28" s="688">
        <v>85</v>
      </c>
      <c r="M28" s="3"/>
      <c r="N28" s="3"/>
      <c r="O28" s="3"/>
      <c r="Q28" s="3"/>
      <c r="R28" s="3"/>
      <c r="S28" s="3"/>
      <c r="T28" s="3"/>
      <c r="U28" s="3"/>
      <c r="V28" s="3"/>
      <c r="W28" s="3"/>
      <c r="AB28" s="3"/>
      <c r="AC28" s="3"/>
      <c r="AD28" s="3"/>
      <c r="AE28" s="3"/>
      <c r="AF28" s="67"/>
      <c r="AG28" s="710"/>
      <c r="AH28" s="3"/>
      <c r="AI28" s="3"/>
      <c r="AJ28" s="3"/>
      <c r="AK28" s="3"/>
      <c r="AL28" s="3"/>
      <c r="AM28" s="3"/>
    </row>
    <row r="29" spans="2:39" ht="16" thickBot="1" x14ac:dyDescent="0.25">
      <c r="B29" s="933">
        <v>164.5</v>
      </c>
      <c r="C29" s="3"/>
      <c r="D29" s="3"/>
      <c r="E29" s="3"/>
      <c r="F29" s="689"/>
      <c r="G29" s="690">
        <v>3</v>
      </c>
      <c r="H29" s="3">
        <v>3</v>
      </c>
      <c r="I29" s="3"/>
      <c r="K29" s="691" t="s">
        <v>1422</v>
      </c>
      <c r="L29" s="692"/>
      <c r="M29" s="3"/>
      <c r="N29" s="3"/>
      <c r="O29" s="3"/>
      <c r="Q29" s="3"/>
      <c r="R29" s="3"/>
      <c r="S29" s="3"/>
      <c r="T29" s="3"/>
      <c r="U29" s="3"/>
      <c r="V29" s="3"/>
      <c r="W29" s="3"/>
      <c r="AB29" s="3"/>
      <c r="AC29" s="3"/>
      <c r="AD29" s="3"/>
      <c r="AE29" s="3"/>
      <c r="AF29" s="3"/>
      <c r="AG29" s="3"/>
      <c r="AH29" s="3"/>
      <c r="AI29" s="3"/>
      <c r="AJ29" s="3"/>
      <c r="AK29" s="3"/>
      <c r="AL29" s="3"/>
      <c r="AM29" s="3"/>
    </row>
    <row r="30" spans="2:39" ht="16" thickBot="1" x14ac:dyDescent="0.25">
      <c r="B30" s="1683" t="s">
        <v>1031</v>
      </c>
      <c r="C30" s="1684">
        <v>10</v>
      </c>
      <c r="D30" s="1684">
        <v>18</v>
      </c>
      <c r="E30" s="1684">
        <v>27</v>
      </c>
      <c r="F30" s="1684">
        <v>54</v>
      </c>
      <c r="G30" s="1684">
        <v>10</v>
      </c>
      <c r="H30" s="1684">
        <v>119</v>
      </c>
      <c r="I30" s="3"/>
      <c r="K30" s="677" t="s">
        <v>1423</v>
      </c>
      <c r="L30" s="692">
        <v>0</v>
      </c>
      <c r="M30" s="3"/>
      <c r="N30" s="3"/>
      <c r="O30" s="3"/>
      <c r="Q30" s="3"/>
      <c r="R30" s="3"/>
      <c r="S30" s="3"/>
      <c r="T30" s="3"/>
      <c r="U30" s="3"/>
      <c r="V30" s="3"/>
      <c r="W30" s="3"/>
      <c r="AB30" s="3"/>
      <c r="AC30" s="3"/>
      <c r="AD30" s="3"/>
      <c r="AE30" s="3"/>
      <c r="AF30" s="3"/>
      <c r="AG30" s="3"/>
      <c r="AH30" s="3"/>
      <c r="AI30" s="3"/>
      <c r="AJ30" s="3"/>
      <c r="AK30" s="3"/>
      <c r="AL30" s="3"/>
      <c r="AM30" s="3"/>
    </row>
    <row r="31" spans="2:39" ht="16" thickBot="1" x14ac:dyDescent="0.25">
      <c r="B31" s="3"/>
      <c r="C31" s="693" t="s">
        <v>1424</v>
      </c>
      <c r="D31" s="694" t="s">
        <v>1425</v>
      </c>
      <c r="E31" s="694" t="s">
        <v>1426</v>
      </c>
      <c r="F31" s="694" t="s">
        <v>1427</v>
      </c>
      <c r="G31" s="695" t="s">
        <v>1050</v>
      </c>
      <c r="H31" s="3"/>
      <c r="I31" s="3"/>
      <c r="K31" s="677" t="s">
        <v>1428</v>
      </c>
      <c r="L31" s="692">
        <v>0</v>
      </c>
      <c r="M31" s="3"/>
      <c r="N31" s="3"/>
      <c r="O31" s="3"/>
      <c r="Q31" s="3"/>
      <c r="R31" s="3"/>
      <c r="S31" s="3"/>
      <c r="T31" s="3"/>
      <c r="U31" s="3"/>
      <c r="V31" s="3"/>
      <c r="W31" s="3"/>
      <c r="AB31" s="3"/>
      <c r="AC31" s="3"/>
      <c r="AD31" s="3"/>
      <c r="AE31" s="3"/>
      <c r="AF31" s="3"/>
      <c r="AG31" s="3"/>
      <c r="AH31" s="3"/>
      <c r="AI31" s="3"/>
      <c r="AJ31" s="3"/>
      <c r="AK31" s="3"/>
      <c r="AL31" s="3"/>
      <c r="AM31" s="3"/>
    </row>
    <row r="32" spans="2:39" x14ac:dyDescent="0.2">
      <c r="B32" s="3"/>
      <c r="C32" s="677" t="s">
        <v>1029</v>
      </c>
      <c r="D32" s="3">
        <v>30</v>
      </c>
      <c r="E32" s="3">
        <v>9</v>
      </c>
      <c r="F32" s="87">
        <v>7.3800000000000004E-2</v>
      </c>
      <c r="G32" s="817">
        <v>0.11310000000000001</v>
      </c>
      <c r="H32" s="3"/>
      <c r="I32" s="3"/>
      <c r="K32" s="677" t="s">
        <v>1429</v>
      </c>
      <c r="L32" s="692">
        <v>0</v>
      </c>
      <c r="M32" s="3"/>
      <c r="N32" s="3"/>
      <c r="O32" s="3"/>
      <c r="P32" s="3"/>
      <c r="Q32" s="3"/>
      <c r="R32" s="3"/>
      <c r="S32" s="3"/>
      <c r="T32" s="3"/>
      <c r="U32" s="3"/>
      <c r="V32" s="3"/>
      <c r="W32" s="3"/>
      <c r="AB32" s="3"/>
      <c r="AC32" s="3"/>
      <c r="AD32" s="3"/>
      <c r="AE32" s="3"/>
      <c r="AF32" s="3"/>
      <c r="AG32" s="71"/>
      <c r="AH32" s="3"/>
      <c r="AI32" s="3"/>
      <c r="AJ32" s="3"/>
      <c r="AK32" s="3"/>
      <c r="AL32" s="3"/>
      <c r="AM32" s="3"/>
    </row>
    <row r="33" spans="2:39" ht="16" thickBot="1" x14ac:dyDescent="0.25">
      <c r="B33" s="3"/>
      <c r="C33" s="697" t="s">
        <v>1030</v>
      </c>
      <c r="D33" s="84">
        <v>6</v>
      </c>
      <c r="E33" s="699">
        <v>5</v>
      </c>
      <c r="F33" s="698">
        <v>3.9300000000000002E-2</v>
      </c>
      <c r="G33" s="818"/>
      <c r="H33" s="3"/>
      <c r="I33" s="3"/>
      <c r="J33" s="3"/>
      <c r="K33" s="677" t="s">
        <v>1430</v>
      </c>
      <c r="L33" s="688">
        <v>85</v>
      </c>
      <c r="M33" s="3"/>
      <c r="N33" s="3"/>
      <c r="O33" s="3"/>
      <c r="P33" s="3"/>
      <c r="Q33" s="3"/>
      <c r="R33" s="3"/>
      <c r="S33" s="3"/>
      <c r="T33" s="3"/>
      <c r="U33" s="3"/>
      <c r="V33" s="3"/>
      <c r="W33" s="3"/>
      <c r="AB33" s="3"/>
      <c r="AC33" s="3"/>
      <c r="AD33" s="3"/>
      <c r="AE33" s="3"/>
      <c r="AF33" s="3"/>
      <c r="AG33" s="303"/>
      <c r="AH33" s="703"/>
      <c r="AI33" s="3"/>
      <c r="AJ33" s="3"/>
      <c r="AK33" s="3"/>
      <c r="AL33" s="3"/>
      <c r="AM33" s="3"/>
    </row>
    <row r="34" spans="2:39" ht="16" thickBot="1" x14ac:dyDescent="0.25">
      <c r="B34" s="3"/>
      <c r="C34" s="3"/>
      <c r="D34" s="3"/>
      <c r="E34" s="3"/>
      <c r="F34" s="3"/>
      <c r="G34" s="3"/>
      <c r="H34" s="3"/>
      <c r="I34" s="3"/>
      <c r="J34" s="3"/>
      <c r="K34" s="677" t="s">
        <v>1431</v>
      </c>
      <c r="L34" s="692">
        <v>0</v>
      </c>
      <c r="M34" s="1875" t="s">
        <v>1434</v>
      </c>
      <c r="N34" s="1876"/>
      <c r="O34" s="1876"/>
      <c r="P34" s="1876"/>
      <c r="Q34" s="3"/>
      <c r="R34" s="3"/>
      <c r="S34" s="3"/>
      <c r="T34" s="3"/>
      <c r="U34" s="3"/>
      <c r="V34" s="3"/>
      <c r="W34" s="3"/>
      <c r="AB34" s="3"/>
      <c r="AC34" s="3"/>
      <c r="AD34" s="3"/>
      <c r="AE34" s="3"/>
      <c r="AF34" s="3"/>
      <c r="AG34" s="87"/>
      <c r="AH34" s="3"/>
      <c r="AI34" s="3"/>
      <c r="AJ34" s="3"/>
      <c r="AK34" s="3"/>
      <c r="AL34" s="3"/>
      <c r="AM34" s="3"/>
    </row>
    <row r="35" spans="2:39" ht="16" thickBot="1" x14ac:dyDescent="0.25">
      <c r="I35" s="3"/>
      <c r="K35" s="1255" t="s">
        <v>1053</v>
      </c>
      <c r="L35" s="1254">
        <v>16112515</v>
      </c>
      <c r="M35" s="1876"/>
      <c r="N35" s="1876"/>
      <c r="O35" s="1876"/>
      <c r="P35" s="1876"/>
      <c r="Q35" s="3"/>
      <c r="R35" s="3"/>
      <c r="S35" s="3"/>
      <c r="T35" s="3"/>
      <c r="U35" s="3"/>
      <c r="V35" s="3"/>
      <c r="W35" s="3"/>
      <c r="X35" s="3"/>
      <c r="Y35" s="3"/>
      <c r="Z35" s="3"/>
      <c r="AA35" s="3"/>
      <c r="AB35" s="3"/>
      <c r="AC35" s="3"/>
      <c r="AD35" s="3"/>
      <c r="AE35" s="3"/>
      <c r="AF35" s="3"/>
      <c r="AG35" s="87"/>
      <c r="AH35" s="3"/>
      <c r="AI35" s="3"/>
      <c r="AJ35" s="3"/>
      <c r="AK35" s="3"/>
      <c r="AL35" s="3"/>
      <c r="AM35" s="3"/>
    </row>
    <row r="36" spans="2:39" x14ac:dyDescent="0.2">
      <c r="I36" s="3"/>
      <c r="K36" s="3"/>
      <c r="L36" s="3"/>
      <c r="M36" s="3"/>
      <c r="N36" s="3"/>
      <c r="O36" s="3"/>
      <c r="Q36" s="931"/>
      <c r="R36" s="3"/>
      <c r="S36" s="3"/>
      <c r="T36" s="3"/>
      <c r="U36" s="3"/>
      <c r="V36" s="3"/>
      <c r="W36" s="3"/>
      <c r="AC36" s="3"/>
      <c r="AD36" s="3"/>
      <c r="AE36" s="3"/>
      <c r="AF36" s="3"/>
      <c r="AG36" s="303"/>
      <c r="AH36" s="3"/>
      <c r="AI36" s="3"/>
      <c r="AJ36" s="3"/>
      <c r="AK36" s="3"/>
      <c r="AL36" s="3"/>
      <c r="AM36" s="3"/>
    </row>
    <row r="37" spans="2:39" ht="16" thickBot="1" x14ac:dyDescent="0.25">
      <c r="B37" s="1870" t="s">
        <v>1435</v>
      </c>
      <c r="C37" s="1870"/>
      <c r="D37" s="1870"/>
      <c r="E37" s="1870"/>
      <c r="F37" s="1870"/>
      <c r="G37" s="1870"/>
      <c r="H37" s="1870"/>
      <c r="I37" s="3"/>
      <c r="K37" s="67" t="s">
        <v>1436</v>
      </c>
      <c r="L37" s="3"/>
      <c r="M37" s="3"/>
      <c r="N37" s="3"/>
      <c r="Q37" s="3"/>
      <c r="R37" s="3"/>
      <c r="S37" s="3"/>
      <c r="T37" s="3"/>
      <c r="U37" s="3"/>
      <c r="V37" s="3"/>
      <c r="W37" s="3"/>
      <c r="AC37" s="3"/>
      <c r="AD37" s="3"/>
      <c r="AE37" s="3"/>
      <c r="AF37" s="3"/>
      <c r="AG37" s="702"/>
      <c r="AH37" s="3"/>
      <c r="AI37" s="3"/>
      <c r="AJ37" s="3"/>
      <c r="AK37" s="3"/>
      <c r="AL37" s="3"/>
      <c r="AM37" s="3"/>
    </row>
    <row r="38" spans="2:39" ht="32" x14ac:dyDescent="0.2">
      <c r="B38" s="1680" t="s">
        <v>1021</v>
      </c>
      <c r="C38" s="1869" t="s">
        <v>1022</v>
      </c>
      <c r="D38" s="1869"/>
      <c r="E38" s="1869"/>
      <c r="F38" s="1869"/>
      <c r="G38" s="1869"/>
      <c r="H38" s="1869"/>
      <c r="I38" s="3"/>
      <c r="K38" s="1249"/>
      <c r="L38" s="679" t="s">
        <v>43</v>
      </c>
      <c r="M38" s="3" t="s">
        <v>787</v>
      </c>
      <c r="N38" s="3"/>
      <c r="Q38" s="3"/>
      <c r="R38" s="3"/>
      <c r="S38" s="3"/>
      <c r="T38" s="3"/>
      <c r="U38" s="3"/>
      <c r="V38" s="3"/>
      <c r="W38" s="3"/>
      <c r="AC38" s="3"/>
      <c r="AD38" s="3"/>
      <c r="AE38" s="3"/>
      <c r="AF38" s="172"/>
      <c r="AG38" s="3"/>
      <c r="AH38" s="3"/>
      <c r="AI38" s="3"/>
      <c r="AJ38" s="3"/>
      <c r="AK38" s="3"/>
      <c r="AL38" s="3"/>
      <c r="AM38" s="3"/>
    </row>
    <row r="39" spans="2:39" ht="16" x14ac:dyDescent="0.2">
      <c r="B39" s="1681" t="s">
        <v>1417</v>
      </c>
      <c r="C39" s="1682" t="s">
        <v>1418</v>
      </c>
      <c r="D39" s="1682" t="s">
        <v>1027</v>
      </c>
      <c r="E39" s="1682" t="s">
        <v>1419</v>
      </c>
      <c r="F39" s="1682" t="s">
        <v>1029</v>
      </c>
      <c r="G39" s="1682" t="s">
        <v>1070</v>
      </c>
      <c r="H39" s="1682" t="s">
        <v>1031</v>
      </c>
      <c r="I39" s="3"/>
      <c r="K39" s="1250" t="s">
        <v>799</v>
      </c>
      <c r="L39" s="1251">
        <v>9945318</v>
      </c>
      <c r="M39" s="109">
        <v>9528990</v>
      </c>
      <c r="N39" s="3"/>
      <c r="Q39" s="3"/>
      <c r="R39" s="3"/>
      <c r="S39" s="3"/>
      <c r="T39" s="3"/>
      <c r="U39" s="3"/>
      <c r="V39" s="71"/>
      <c r="W39" s="3"/>
      <c r="AC39" s="3"/>
      <c r="AD39" s="3"/>
      <c r="AE39" s="3"/>
      <c r="AF39" s="3"/>
      <c r="AG39" s="3"/>
      <c r="AH39" s="3"/>
      <c r="AI39" s="3"/>
      <c r="AJ39" s="3"/>
      <c r="AK39" s="3"/>
      <c r="AL39" s="3"/>
      <c r="AM39" s="3"/>
    </row>
    <row r="40" spans="2:39" ht="16" thickBot="1" x14ac:dyDescent="0.25">
      <c r="B40" s="933">
        <v>72.5</v>
      </c>
      <c r="C40" s="3">
        <v>2</v>
      </c>
      <c r="D40" s="3">
        <v>2</v>
      </c>
      <c r="E40" s="3">
        <v>7</v>
      </c>
      <c r="F40" s="3">
        <v>11</v>
      </c>
      <c r="G40" s="3"/>
      <c r="H40" s="3">
        <v>22</v>
      </c>
      <c r="I40" s="3"/>
      <c r="K40" s="1250" t="s">
        <v>1050</v>
      </c>
      <c r="L40" s="682">
        <v>0.13900000000000001</v>
      </c>
      <c r="M40" s="3"/>
      <c r="N40" s="3"/>
      <c r="Q40" s="3"/>
      <c r="R40" s="3"/>
      <c r="S40" s="3"/>
      <c r="T40" s="3"/>
      <c r="U40" s="3"/>
      <c r="V40" s="303"/>
      <c r="W40" s="703"/>
      <c r="AC40" s="3"/>
      <c r="AD40" s="3"/>
      <c r="AE40" s="3"/>
      <c r="AF40" s="3"/>
      <c r="AG40" s="3"/>
      <c r="AH40" s="3"/>
      <c r="AI40" s="3"/>
      <c r="AJ40" s="3"/>
      <c r="AK40" s="3"/>
      <c r="AL40" s="3"/>
      <c r="AM40" s="3"/>
    </row>
    <row r="41" spans="2:39" ht="16" thickTop="1" x14ac:dyDescent="0.2">
      <c r="B41" s="933">
        <v>95.5</v>
      </c>
      <c r="C41" s="3"/>
      <c r="D41" s="3">
        <v>3</v>
      </c>
      <c r="E41" s="3">
        <v>2</v>
      </c>
      <c r="F41" s="704">
        <v>8</v>
      </c>
      <c r="G41" s="705">
        <v>1</v>
      </c>
      <c r="H41" s="3">
        <v>14</v>
      </c>
      <c r="I41" s="3"/>
      <c r="K41" s="1250" t="s">
        <v>801</v>
      </c>
      <c r="L41" s="682">
        <v>0.21490000000000001</v>
      </c>
      <c r="M41" s="3"/>
      <c r="N41" s="3"/>
      <c r="Q41" s="3"/>
      <c r="R41" s="3"/>
      <c r="S41" s="3"/>
      <c r="T41" s="3"/>
      <c r="U41" s="3"/>
      <c r="V41" s="87"/>
      <c r="W41" s="3"/>
      <c r="AC41" s="3"/>
      <c r="AD41" s="3"/>
      <c r="AE41" s="3"/>
      <c r="AF41" s="3"/>
      <c r="AG41" s="3"/>
      <c r="AH41" s="3"/>
      <c r="AI41" s="3"/>
      <c r="AJ41" s="3"/>
      <c r="AK41" s="3"/>
      <c r="AL41" s="3"/>
      <c r="AM41" s="3"/>
    </row>
    <row r="42" spans="2:39" x14ac:dyDescent="0.2">
      <c r="B42" s="933">
        <v>118.5</v>
      </c>
      <c r="C42" s="3"/>
      <c r="D42" s="3"/>
      <c r="E42" s="3"/>
      <c r="F42" s="706">
        <v>2</v>
      </c>
      <c r="G42" s="707"/>
      <c r="H42" s="3">
        <v>2</v>
      </c>
      <c r="I42" s="3"/>
      <c r="K42" s="1250" t="s">
        <v>1420</v>
      </c>
      <c r="L42" s="681">
        <v>297130</v>
      </c>
      <c r="M42" s="3"/>
      <c r="N42" s="3"/>
      <c r="Q42" s="3"/>
      <c r="R42" s="3"/>
      <c r="S42" s="3"/>
      <c r="T42" s="3"/>
      <c r="U42" s="3"/>
      <c r="V42" s="87"/>
      <c r="W42" s="3"/>
      <c r="AC42" s="3"/>
      <c r="AD42" s="3"/>
      <c r="AE42" s="3"/>
      <c r="AF42" s="3"/>
      <c r="AG42" s="702"/>
      <c r="AH42" s="3"/>
      <c r="AI42" s="3"/>
      <c r="AJ42" s="3"/>
      <c r="AK42" s="3"/>
      <c r="AL42" s="3"/>
      <c r="AM42" s="3"/>
    </row>
    <row r="43" spans="2:39" x14ac:dyDescent="0.2">
      <c r="B43" s="933">
        <v>141.5</v>
      </c>
      <c r="C43" s="3"/>
      <c r="D43" s="3"/>
      <c r="E43" s="3"/>
      <c r="F43" s="706">
        <v>1</v>
      </c>
      <c r="G43" s="707"/>
      <c r="H43" s="3">
        <v>1</v>
      </c>
      <c r="I43" s="3"/>
      <c r="K43" s="1250" t="s">
        <v>1421</v>
      </c>
      <c r="L43" s="688">
        <v>85</v>
      </c>
      <c r="M43" s="3"/>
      <c r="N43" s="3"/>
      <c r="Q43" s="3"/>
      <c r="R43" s="3"/>
      <c r="S43" s="3"/>
      <c r="T43" s="3"/>
      <c r="U43" s="3"/>
      <c r="V43" s="303"/>
      <c r="W43" s="3"/>
      <c r="AC43" s="3"/>
      <c r="AD43" s="3"/>
      <c r="AE43" s="3"/>
      <c r="AF43" s="3"/>
      <c r="AG43" s="3"/>
      <c r="AH43" s="3"/>
      <c r="AI43" s="3"/>
      <c r="AJ43" s="3"/>
      <c r="AK43" s="3"/>
      <c r="AL43" s="3"/>
      <c r="AM43" s="3"/>
    </row>
    <row r="44" spans="2:39" ht="41.25" customHeight="1" thickBot="1" x14ac:dyDescent="0.25">
      <c r="B44" s="933">
        <v>164.5</v>
      </c>
      <c r="C44" s="3"/>
      <c r="D44" s="3"/>
      <c r="E44" s="3"/>
      <c r="F44" s="708"/>
      <c r="G44" s="709">
        <v>2</v>
      </c>
      <c r="H44" s="3">
        <v>2</v>
      </c>
      <c r="I44" s="3"/>
      <c r="K44" s="1252" t="s">
        <v>1422</v>
      </c>
      <c r="L44" s="692"/>
      <c r="M44" s="3"/>
      <c r="N44" s="171"/>
      <c r="Q44" s="3"/>
      <c r="R44" s="3"/>
      <c r="S44" s="3"/>
      <c r="T44" s="3"/>
      <c r="U44" s="3"/>
      <c r="V44" s="702"/>
      <c r="W44" s="3"/>
      <c r="AC44" s="3"/>
      <c r="AD44" s="3"/>
      <c r="AE44" s="3"/>
      <c r="AF44" s="67"/>
      <c r="AG44" s="710"/>
      <c r="AH44" s="3"/>
      <c r="AI44" s="3"/>
      <c r="AJ44" s="3"/>
      <c r="AK44" s="3"/>
      <c r="AL44" s="3"/>
      <c r="AM44" s="3"/>
    </row>
    <row r="45" spans="2:39" ht="28" customHeight="1" thickTop="1" thickBot="1" x14ac:dyDescent="0.25">
      <c r="B45" s="1683" t="s">
        <v>1031</v>
      </c>
      <c r="C45" s="1684">
        <v>2</v>
      </c>
      <c r="D45" s="1684">
        <v>5</v>
      </c>
      <c r="E45" s="1684">
        <v>9</v>
      </c>
      <c r="F45" s="1684">
        <v>22</v>
      </c>
      <c r="G45" s="1684">
        <v>3</v>
      </c>
      <c r="H45" s="1684">
        <v>41</v>
      </c>
      <c r="I45" s="3"/>
      <c r="K45" s="1250" t="s">
        <v>1423</v>
      </c>
      <c r="L45" s="692">
        <v>0</v>
      </c>
      <c r="M45" s="3"/>
      <c r="N45" s="3"/>
      <c r="Q45" s="3"/>
      <c r="R45" s="3"/>
      <c r="S45" s="3"/>
      <c r="T45" s="3"/>
      <c r="U45" s="172"/>
      <c r="V45" s="3"/>
      <c r="W45" s="3"/>
      <c r="AC45" s="3"/>
      <c r="AD45" s="3"/>
      <c r="AE45" s="3"/>
      <c r="AF45" s="3"/>
      <c r="AG45" s="3"/>
      <c r="AH45" s="3"/>
      <c r="AI45" s="3"/>
      <c r="AJ45" s="3"/>
      <c r="AK45" s="3"/>
      <c r="AL45" s="3"/>
      <c r="AM45" s="3"/>
    </row>
    <row r="46" spans="2:39" ht="26.25" customHeight="1" thickBot="1" x14ac:dyDescent="0.25">
      <c r="B46" s="3"/>
      <c r="C46" s="693" t="s">
        <v>1424</v>
      </c>
      <c r="D46" s="694" t="s">
        <v>1425</v>
      </c>
      <c r="E46" s="694" t="s">
        <v>1426</v>
      </c>
      <c r="F46" s="694" t="s">
        <v>1427</v>
      </c>
      <c r="G46" s="695" t="s">
        <v>1050</v>
      </c>
      <c r="H46" s="3"/>
      <c r="I46" s="3"/>
      <c r="K46" s="1250" t="s">
        <v>1428</v>
      </c>
      <c r="L46" s="692">
        <v>0</v>
      </c>
      <c r="M46" s="3"/>
      <c r="N46" s="3"/>
      <c r="O46" s="3"/>
      <c r="P46" s="3"/>
      <c r="Q46" s="3"/>
      <c r="R46" s="3"/>
      <c r="S46" s="3"/>
      <c r="T46" s="3"/>
      <c r="U46" s="3"/>
      <c r="V46" s="3"/>
      <c r="W46" s="3"/>
      <c r="AC46" s="3"/>
      <c r="AD46" s="3"/>
      <c r="AE46" s="3"/>
      <c r="AF46" s="3"/>
      <c r="AG46" s="3"/>
      <c r="AH46" s="3"/>
      <c r="AI46" s="3"/>
      <c r="AJ46" s="3"/>
      <c r="AK46" s="3"/>
      <c r="AL46" s="3"/>
      <c r="AM46" s="3"/>
    </row>
    <row r="47" spans="2:39" x14ac:dyDescent="0.2">
      <c r="B47" s="3"/>
      <c r="C47" s="677" t="s">
        <v>1029</v>
      </c>
      <c r="D47" s="3">
        <v>11</v>
      </c>
      <c r="E47" s="3">
        <v>3.3</v>
      </c>
      <c r="F47" s="711">
        <v>8.0500000000000002E-2</v>
      </c>
      <c r="G47" s="817">
        <v>0.13900000000000001</v>
      </c>
      <c r="H47" s="3"/>
      <c r="I47" s="3"/>
      <c r="J47" s="3"/>
      <c r="K47" s="1250" t="s">
        <v>1429</v>
      </c>
      <c r="L47" s="692">
        <v>0</v>
      </c>
      <c r="M47" s="3"/>
      <c r="N47" s="3"/>
      <c r="O47" s="3"/>
      <c r="P47" s="3"/>
      <c r="Q47" s="3"/>
      <c r="R47" s="3"/>
      <c r="S47" s="3"/>
      <c r="T47" s="3"/>
      <c r="U47" s="3"/>
      <c r="V47" s="3"/>
      <c r="W47" s="3"/>
      <c r="AC47" s="3"/>
      <c r="AD47" s="3"/>
      <c r="AE47" s="3"/>
      <c r="AF47" s="3"/>
      <c r="AG47" s="3"/>
      <c r="AH47" s="3"/>
      <c r="AI47" s="3"/>
      <c r="AJ47" s="3"/>
      <c r="AK47" s="3"/>
      <c r="AL47" s="3"/>
      <c r="AM47" s="3"/>
    </row>
    <row r="48" spans="2:39" ht="16" thickBot="1" x14ac:dyDescent="0.25">
      <c r="B48" s="3"/>
      <c r="C48" s="697" t="s">
        <v>1030</v>
      </c>
      <c r="D48" s="84">
        <v>3</v>
      </c>
      <c r="E48" s="84">
        <v>2.4</v>
      </c>
      <c r="F48" s="698">
        <v>5.8500000000000003E-2</v>
      </c>
      <c r="G48" s="712"/>
      <c r="H48" s="3"/>
      <c r="I48" s="3"/>
      <c r="J48" s="3"/>
      <c r="K48" s="1250" t="s">
        <v>1430</v>
      </c>
      <c r="L48" s="688">
        <v>85</v>
      </c>
      <c r="M48" s="3"/>
      <c r="N48" s="3"/>
      <c r="O48" s="3"/>
      <c r="P48" s="3"/>
      <c r="Q48" s="3"/>
      <c r="R48" s="3"/>
      <c r="S48" s="3"/>
      <c r="T48" s="3"/>
      <c r="U48" s="3"/>
      <c r="V48" s="3"/>
      <c r="W48" s="3"/>
      <c r="AC48" s="3"/>
      <c r="AD48" s="3"/>
      <c r="AE48" s="3"/>
      <c r="AF48" s="3"/>
      <c r="AG48" s="71"/>
      <c r="AH48" s="3"/>
      <c r="AI48" s="3"/>
      <c r="AJ48" s="3"/>
      <c r="AK48" s="3"/>
      <c r="AL48" s="3"/>
      <c r="AM48" s="3"/>
    </row>
    <row r="49" spans="2:39" ht="16" thickBot="1" x14ac:dyDescent="0.25">
      <c r="B49" s="3"/>
      <c r="C49" s="3"/>
      <c r="D49" s="3"/>
      <c r="E49" s="3"/>
      <c r="F49" s="3"/>
      <c r="G49" s="3"/>
      <c r="H49" s="3"/>
      <c r="I49" s="3"/>
      <c r="J49" s="3"/>
      <c r="K49" s="1250" t="s">
        <v>1431</v>
      </c>
      <c r="L49" s="692">
        <v>0</v>
      </c>
      <c r="M49" s="1871" t="s">
        <v>1437</v>
      </c>
      <c r="N49" s="1872"/>
      <c r="O49" s="1872"/>
      <c r="P49" s="1872"/>
      <c r="Q49" s="3"/>
      <c r="R49" s="3"/>
      <c r="S49" s="3"/>
      <c r="T49" s="3"/>
      <c r="U49" s="3"/>
      <c r="V49" s="702"/>
      <c r="W49" s="3"/>
      <c r="AC49" s="3"/>
      <c r="AD49" s="3"/>
      <c r="AE49" s="3"/>
      <c r="AF49" s="3"/>
      <c r="AG49" s="703"/>
      <c r="AH49" s="109"/>
      <c r="AI49" s="109"/>
      <c r="AJ49" s="3"/>
      <c r="AK49" s="3"/>
      <c r="AL49" s="3"/>
      <c r="AM49" s="3"/>
    </row>
    <row r="50" spans="2:39" ht="16" thickBot="1" x14ac:dyDescent="0.25">
      <c r="B50" s="3"/>
      <c r="C50" s="3"/>
      <c r="D50" s="3"/>
      <c r="E50" s="3"/>
      <c r="F50" s="3"/>
      <c r="G50" s="3"/>
      <c r="H50" s="3"/>
      <c r="I50" s="3"/>
      <c r="K50" s="1253" t="s">
        <v>1053</v>
      </c>
      <c r="L50" s="1254">
        <v>25256050</v>
      </c>
      <c r="M50" s="1871"/>
      <c r="N50" s="1872"/>
      <c r="O50" s="1872"/>
      <c r="P50" s="1872"/>
      <c r="Q50" s="3"/>
      <c r="R50" s="3"/>
      <c r="S50" s="3"/>
      <c r="T50" s="3"/>
      <c r="U50" s="3"/>
      <c r="V50" s="3"/>
      <c r="W50" s="3"/>
      <c r="X50" s="3"/>
      <c r="Y50" s="3"/>
      <c r="Z50" s="3"/>
      <c r="AA50" s="3"/>
      <c r="AB50" s="3"/>
      <c r="AC50" s="3"/>
      <c r="AD50" s="3"/>
      <c r="AE50" s="3"/>
      <c r="AF50" s="3"/>
      <c r="AG50" s="87"/>
      <c r="AH50" s="3"/>
      <c r="AI50" s="3"/>
      <c r="AJ50" s="3"/>
      <c r="AK50" s="3"/>
      <c r="AL50" s="3"/>
      <c r="AM50" s="3"/>
    </row>
    <row r="51" spans="2:39" x14ac:dyDescent="0.2">
      <c r="I51" s="3"/>
      <c r="J51" s="3"/>
      <c r="K51" s="3"/>
      <c r="L51" s="3"/>
      <c r="M51" s="3"/>
      <c r="N51" s="3"/>
      <c r="O51" s="3"/>
      <c r="P51" s="3"/>
      <c r="Q51" s="3"/>
      <c r="R51" s="3"/>
      <c r="S51" s="3"/>
      <c r="T51" s="3"/>
      <c r="U51" s="67"/>
      <c r="V51" s="710"/>
      <c r="W51" s="3"/>
      <c r="X51" s="3"/>
      <c r="Y51" s="3"/>
      <c r="Z51" s="3"/>
      <c r="AA51" s="3"/>
      <c r="AB51" s="3"/>
      <c r="AC51" s="3"/>
      <c r="AD51" s="3"/>
      <c r="AE51" s="3"/>
      <c r="AF51" s="3"/>
      <c r="AG51" s="87"/>
      <c r="AH51" s="3"/>
      <c r="AI51" s="3"/>
      <c r="AJ51" s="3"/>
      <c r="AK51" s="3"/>
      <c r="AL51" s="3"/>
      <c r="AM51" s="3"/>
    </row>
    <row r="52" spans="2:39" x14ac:dyDescent="0.2">
      <c r="I52" s="3"/>
      <c r="J52" s="3"/>
      <c r="O52" s="3"/>
      <c r="P52" s="3"/>
      <c r="Q52" s="3"/>
      <c r="R52" s="3"/>
      <c r="S52" s="3"/>
      <c r="T52" s="3"/>
      <c r="U52" s="3"/>
      <c r="V52" s="3"/>
      <c r="W52" s="3"/>
      <c r="X52" s="3"/>
      <c r="Y52" s="3"/>
      <c r="Z52" s="3"/>
      <c r="AA52" s="3"/>
      <c r="AB52" s="3"/>
      <c r="AC52" s="3"/>
      <c r="AD52" s="3"/>
      <c r="AE52" s="3"/>
      <c r="AF52" s="3"/>
      <c r="AG52" s="303"/>
      <c r="AH52" s="3"/>
      <c r="AI52" s="3"/>
      <c r="AJ52" s="3"/>
      <c r="AK52" s="3"/>
      <c r="AL52" s="3"/>
      <c r="AM52" s="3"/>
    </row>
    <row r="53" spans="2:39" ht="16" thickBot="1" x14ac:dyDescent="0.25">
      <c r="I53" s="3"/>
      <c r="J53" s="3"/>
      <c r="K53" s="67" t="s">
        <v>1438</v>
      </c>
      <c r="L53" s="3"/>
      <c r="M53" s="3"/>
      <c r="N53" s="3"/>
      <c r="O53" s="3"/>
      <c r="P53" s="3"/>
      <c r="Q53" s="3"/>
      <c r="R53" s="3"/>
      <c r="S53" s="3"/>
      <c r="T53" s="3"/>
      <c r="U53" s="3"/>
      <c r="V53" s="3"/>
      <c r="W53" s="3"/>
      <c r="X53" s="3"/>
      <c r="Y53" s="3"/>
      <c r="Z53" s="3"/>
      <c r="AA53" s="3"/>
      <c r="AB53" s="3"/>
      <c r="AC53" s="3"/>
      <c r="AD53" s="3"/>
      <c r="AE53" s="3"/>
      <c r="AF53" s="3"/>
      <c r="AG53" s="702"/>
      <c r="AH53" s="3"/>
      <c r="AI53" s="3"/>
      <c r="AJ53" s="3"/>
      <c r="AK53" s="3"/>
      <c r="AL53" s="3"/>
      <c r="AM53" s="3"/>
    </row>
    <row r="54" spans="2:39" ht="16" thickBot="1" x14ac:dyDescent="0.25">
      <c r="B54" s="1870" t="s">
        <v>1439</v>
      </c>
      <c r="C54" s="1870"/>
      <c r="D54" s="1870"/>
      <c r="E54" s="1870"/>
      <c r="F54" s="1870"/>
      <c r="G54" s="1870"/>
      <c r="H54" s="1870"/>
      <c r="I54" s="3"/>
      <c r="J54" s="3"/>
      <c r="K54" s="678"/>
      <c r="L54" s="679" t="s">
        <v>43</v>
      </c>
      <c r="M54" s="3" t="s">
        <v>787</v>
      </c>
      <c r="N54" s="3"/>
      <c r="O54" s="3"/>
      <c r="P54" s="3"/>
      <c r="Q54" s="3"/>
      <c r="R54" s="3"/>
      <c r="S54" s="3"/>
      <c r="T54" s="3"/>
      <c r="U54" s="3"/>
      <c r="V54" s="3"/>
      <c r="W54" s="3"/>
      <c r="X54" s="3"/>
      <c r="Y54" s="3"/>
      <c r="Z54" s="3"/>
      <c r="AA54" s="3"/>
      <c r="AB54" s="3"/>
      <c r="AC54" s="3"/>
      <c r="AD54" s="3"/>
      <c r="AE54" s="3"/>
      <c r="AF54" s="172"/>
      <c r="AG54" s="3"/>
      <c r="AH54" s="3"/>
      <c r="AI54" s="3"/>
      <c r="AJ54" s="3"/>
      <c r="AK54" s="3"/>
      <c r="AL54" s="3"/>
      <c r="AM54" s="3"/>
    </row>
    <row r="55" spans="2:39" ht="32" x14ac:dyDescent="0.2">
      <c r="B55" s="1680" t="s">
        <v>1021</v>
      </c>
      <c r="C55" s="1869" t="s">
        <v>1022</v>
      </c>
      <c r="D55" s="1869"/>
      <c r="E55" s="1869"/>
      <c r="F55" s="1869"/>
      <c r="G55" s="1869"/>
      <c r="H55" s="1869"/>
      <c r="I55" s="3"/>
      <c r="J55" s="3"/>
      <c r="K55" s="677" t="s">
        <v>799</v>
      </c>
      <c r="L55" s="681">
        <v>3283635</v>
      </c>
      <c r="M55" s="303">
        <v>3146177</v>
      </c>
      <c r="N55" s="3"/>
      <c r="O55" s="3"/>
      <c r="P55" s="3"/>
      <c r="Q55" s="3"/>
      <c r="R55" s="3"/>
      <c r="S55" s="3"/>
      <c r="T55" s="3"/>
      <c r="U55" s="3"/>
      <c r="V55" s="3"/>
      <c r="W55" s="3"/>
      <c r="X55" s="3"/>
      <c r="Y55" s="3"/>
      <c r="Z55" s="3"/>
      <c r="AA55" s="3"/>
      <c r="AB55" s="3"/>
      <c r="AC55" s="3"/>
      <c r="AD55" s="3"/>
      <c r="AE55" s="3"/>
      <c r="AF55" s="3"/>
      <c r="AG55" s="3"/>
      <c r="AH55" s="3"/>
      <c r="AI55" s="3"/>
      <c r="AJ55" s="3"/>
      <c r="AK55" s="3"/>
      <c r="AL55" s="3"/>
      <c r="AM55" s="3"/>
    </row>
    <row r="56" spans="2:39" ht="16" x14ac:dyDescent="0.2">
      <c r="B56" s="1681" t="s">
        <v>1417</v>
      </c>
      <c r="C56" s="1682" t="s">
        <v>1418</v>
      </c>
      <c r="D56" s="1682" t="s">
        <v>1027</v>
      </c>
      <c r="E56" s="1682" t="s">
        <v>1419</v>
      </c>
      <c r="F56" s="1682" t="s">
        <v>1029</v>
      </c>
      <c r="G56" s="1682" t="s">
        <v>1070</v>
      </c>
      <c r="H56" s="1682" t="s">
        <v>1031</v>
      </c>
      <c r="I56" s="3"/>
      <c r="J56" s="3"/>
      <c r="K56" s="677" t="s">
        <v>1050</v>
      </c>
      <c r="L56" s="682">
        <v>0.1774</v>
      </c>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row>
    <row r="57" spans="2:39" ht="16" thickBot="1" x14ac:dyDescent="0.25">
      <c r="B57" s="933">
        <v>72.5</v>
      </c>
      <c r="C57" s="3">
        <v>1</v>
      </c>
      <c r="D57" s="3">
        <v>5</v>
      </c>
      <c r="E57" s="3">
        <v>6</v>
      </c>
      <c r="F57" s="3">
        <v>9</v>
      </c>
      <c r="G57" s="3">
        <v>3</v>
      </c>
      <c r="H57" s="3">
        <v>24</v>
      </c>
      <c r="I57" s="3"/>
      <c r="J57" s="3"/>
      <c r="K57" s="677" t="s">
        <v>801</v>
      </c>
      <c r="L57" s="682">
        <v>0.2382</v>
      </c>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row>
    <row r="58" spans="2:39" x14ac:dyDescent="0.2">
      <c r="B58" s="933">
        <v>95.5</v>
      </c>
      <c r="C58" s="3"/>
      <c r="D58" s="3">
        <v>2</v>
      </c>
      <c r="E58" s="3">
        <v>3</v>
      </c>
      <c r="F58" s="683">
        <v>11</v>
      </c>
      <c r="G58" s="684">
        <v>2</v>
      </c>
      <c r="H58" s="3">
        <v>18</v>
      </c>
      <c r="I58" s="3"/>
      <c r="J58" s="3"/>
      <c r="K58" s="677" t="s">
        <v>1420</v>
      </c>
      <c r="L58" s="681">
        <v>138723</v>
      </c>
      <c r="M58" s="3"/>
      <c r="N58" s="3"/>
      <c r="O58" s="3"/>
      <c r="P58" s="3"/>
      <c r="Q58" s="3"/>
      <c r="R58" s="3"/>
      <c r="S58" s="3"/>
      <c r="T58" s="3"/>
      <c r="U58" s="3"/>
      <c r="V58" s="3"/>
      <c r="W58" s="3"/>
      <c r="X58" s="3"/>
      <c r="Y58" s="3"/>
      <c r="Z58" s="3"/>
      <c r="AA58" s="3"/>
      <c r="AB58" s="3"/>
      <c r="AC58" s="3"/>
      <c r="AD58" s="3"/>
      <c r="AE58" s="3"/>
      <c r="AF58" s="3"/>
      <c r="AG58" s="702"/>
      <c r="AH58" s="3"/>
      <c r="AI58" s="3"/>
      <c r="AJ58" s="3"/>
      <c r="AK58" s="3"/>
      <c r="AL58" s="3"/>
      <c r="AM58" s="3"/>
    </row>
    <row r="59" spans="2:39" x14ac:dyDescent="0.2">
      <c r="B59" s="933">
        <v>118.5</v>
      </c>
      <c r="C59" s="3"/>
      <c r="D59" s="3">
        <v>1</v>
      </c>
      <c r="E59" s="3"/>
      <c r="F59" s="686">
        <v>6</v>
      </c>
      <c r="G59" s="687"/>
      <c r="H59" s="3">
        <v>7</v>
      </c>
      <c r="I59" s="3"/>
      <c r="J59" s="3"/>
      <c r="K59" s="677" t="s">
        <v>1421</v>
      </c>
      <c r="L59" s="688">
        <v>85</v>
      </c>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row>
    <row r="60" spans="2:39" x14ac:dyDescent="0.2">
      <c r="B60" s="933">
        <v>141.5</v>
      </c>
      <c r="C60" s="3"/>
      <c r="D60" s="3"/>
      <c r="E60" s="3"/>
      <c r="F60" s="686">
        <v>1</v>
      </c>
      <c r="G60" s="687">
        <v>1</v>
      </c>
      <c r="H60" s="3">
        <v>2</v>
      </c>
      <c r="I60" s="3"/>
      <c r="J60" s="3"/>
      <c r="K60" s="691" t="s">
        <v>1422</v>
      </c>
      <c r="L60" s="692"/>
      <c r="M60" s="3"/>
      <c r="N60" s="3"/>
      <c r="O60" s="3"/>
      <c r="P60" s="3"/>
      <c r="Q60" s="3"/>
      <c r="R60" s="3"/>
      <c r="S60" s="3"/>
      <c r="T60" s="3"/>
      <c r="U60" s="3"/>
      <c r="V60" s="3"/>
      <c r="W60" s="3"/>
      <c r="X60" s="3"/>
      <c r="Y60" s="3"/>
      <c r="Z60" s="3"/>
      <c r="AA60" s="3"/>
      <c r="AB60" s="3"/>
      <c r="AC60" s="3"/>
      <c r="AD60" s="3"/>
      <c r="AE60" s="3"/>
      <c r="AF60" s="67"/>
      <c r="AG60" s="710"/>
      <c r="AH60" s="3"/>
      <c r="AI60" s="3"/>
      <c r="AJ60" s="3"/>
      <c r="AK60" s="3"/>
      <c r="AL60" s="3"/>
      <c r="AM60" s="3"/>
    </row>
    <row r="61" spans="2:39" ht="16" thickBot="1" x14ac:dyDescent="0.25">
      <c r="B61" s="933">
        <v>164.5</v>
      </c>
      <c r="C61" s="3"/>
      <c r="D61" s="3"/>
      <c r="E61" s="3"/>
      <c r="F61" s="689"/>
      <c r="G61" s="690">
        <v>2</v>
      </c>
      <c r="H61" s="3">
        <v>2</v>
      </c>
      <c r="I61" s="3"/>
      <c r="J61" s="3"/>
      <c r="K61" s="677" t="s">
        <v>1423</v>
      </c>
      <c r="L61" s="692">
        <v>0</v>
      </c>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row>
    <row r="62" spans="2:39" ht="16" thickBot="1" x14ac:dyDescent="0.25">
      <c r="B62" s="1683" t="s">
        <v>1031</v>
      </c>
      <c r="C62" s="1684">
        <v>1</v>
      </c>
      <c r="D62" s="1684">
        <v>8</v>
      </c>
      <c r="E62" s="1684">
        <v>9</v>
      </c>
      <c r="F62" s="1684">
        <v>27</v>
      </c>
      <c r="G62" s="1684">
        <v>8</v>
      </c>
      <c r="H62" s="1684">
        <v>53</v>
      </c>
      <c r="I62" s="3"/>
      <c r="J62" s="3"/>
      <c r="K62" s="677" t="s">
        <v>1428</v>
      </c>
      <c r="L62" s="692">
        <v>0</v>
      </c>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row>
    <row r="63" spans="2:39" ht="16" thickBot="1" x14ac:dyDescent="0.25">
      <c r="B63" s="3"/>
      <c r="C63" s="693" t="s">
        <v>1424</v>
      </c>
      <c r="D63" s="694" t="s">
        <v>1425</v>
      </c>
      <c r="E63" s="694" t="s">
        <v>1426</v>
      </c>
      <c r="F63" s="694" t="s">
        <v>1427</v>
      </c>
      <c r="G63" s="695" t="s">
        <v>1050</v>
      </c>
      <c r="H63" s="3"/>
      <c r="I63" s="3"/>
      <c r="J63" s="3"/>
      <c r="K63" s="677" t="s">
        <v>1429</v>
      </c>
      <c r="L63" s="692">
        <v>0</v>
      </c>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row>
    <row r="64" spans="2:39" x14ac:dyDescent="0.2">
      <c r="B64" s="3"/>
      <c r="C64" s="677" t="s">
        <v>1029</v>
      </c>
      <c r="D64" s="3">
        <v>18</v>
      </c>
      <c r="E64" s="3">
        <v>5.4</v>
      </c>
      <c r="F64" s="87">
        <v>0.1019</v>
      </c>
      <c r="G64" s="817">
        <v>0.1774</v>
      </c>
      <c r="H64" s="3"/>
      <c r="I64" s="3"/>
      <c r="J64" s="3"/>
      <c r="K64" s="677" t="s">
        <v>1430</v>
      </c>
      <c r="L64" s="688">
        <v>85</v>
      </c>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row>
    <row r="65" spans="2:39" ht="16" thickBot="1" x14ac:dyDescent="0.25">
      <c r="B65" s="3"/>
      <c r="C65" s="697" t="s">
        <v>1030</v>
      </c>
      <c r="D65" s="84">
        <v>5</v>
      </c>
      <c r="E65" s="84">
        <v>4</v>
      </c>
      <c r="F65" s="698">
        <v>7.5499999999999998E-2</v>
      </c>
      <c r="G65" s="712"/>
      <c r="H65" s="3"/>
      <c r="I65" s="3"/>
      <c r="J65" s="3"/>
      <c r="K65" s="677" t="s">
        <v>1431</v>
      </c>
      <c r="L65" s="692">
        <v>0</v>
      </c>
      <c r="M65" s="1871" t="s">
        <v>1440</v>
      </c>
      <c r="N65" s="1872"/>
      <c r="O65" s="1872"/>
      <c r="P65" s="1872"/>
      <c r="Q65" s="3"/>
      <c r="R65" s="3"/>
      <c r="S65" s="3"/>
      <c r="T65" s="3"/>
      <c r="U65" s="3"/>
      <c r="V65" s="3"/>
      <c r="W65" s="3"/>
      <c r="X65" s="3"/>
      <c r="Y65" s="3"/>
      <c r="Z65" s="3"/>
      <c r="AA65" s="3"/>
      <c r="AB65" s="3"/>
      <c r="AC65" s="3"/>
      <c r="AD65" s="3"/>
      <c r="AE65" s="3"/>
      <c r="AF65" s="3"/>
      <c r="AG65" s="3"/>
      <c r="AH65" s="3"/>
      <c r="AI65" s="3"/>
      <c r="AJ65" s="3"/>
      <c r="AK65" s="3"/>
      <c r="AL65" s="3"/>
      <c r="AM65" s="3"/>
    </row>
    <row r="66" spans="2:39" ht="16" thickBot="1" x14ac:dyDescent="0.25">
      <c r="B66" s="3"/>
      <c r="C66" s="3"/>
      <c r="D66" s="3"/>
      <c r="E66" s="3"/>
      <c r="F66" s="3"/>
      <c r="G66" s="3"/>
      <c r="H66" s="3"/>
      <c r="I66" s="3"/>
      <c r="J66" s="3"/>
      <c r="K66" s="1255" t="s">
        <v>1053</v>
      </c>
      <c r="L66" s="1254">
        <v>11791455</v>
      </c>
      <c r="M66" s="1871"/>
      <c r="N66" s="1872"/>
      <c r="O66" s="1872"/>
      <c r="P66" s="1872"/>
      <c r="Q66" s="3"/>
      <c r="R66" s="3"/>
      <c r="S66" s="3"/>
      <c r="T66" s="3"/>
      <c r="U66" s="3"/>
      <c r="V66" s="3"/>
      <c r="W66" s="3"/>
      <c r="X66" s="3"/>
      <c r="Y66" s="3"/>
      <c r="Z66" s="3"/>
      <c r="AA66" s="3"/>
      <c r="AB66" s="3"/>
      <c r="AC66" s="3"/>
      <c r="AD66" s="3"/>
      <c r="AE66" s="3"/>
      <c r="AF66" s="3"/>
      <c r="AG66" s="3"/>
      <c r="AH66" s="3"/>
      <c r="AI66" s="3"/>
      <c r="AJ66" s="3"/>
      <c r="AK66" s="3"/>
      <c r="AL66" s="3"/>
      <c r="AM66" s="3"/>
    </row>
    <row r="67" spans="2:39" x14ac:dyDescent="0.2">
      <c r="B67" s="3"/>
      <c r="C67" s="3"/>
      <c r="D67" s="3"/>
      <c r="E67" s="3"/>
      <c r="F67" s="3"/>
      <c r="G67" s="3"/>
      <c r="H67" s="3"/>
      <c r="I67" s="3"/>
      <c r="J67" s="3"/>
      <c r="K67" s="67"/>
      <c r="L67" s="67"/>
      <c r="M67" s="710"/>
      <c r="N67" s="3"/>
      <c r="O67" s="3"/>
      <c r="P67" s="3"/>
      <c r="Q67" s="3"/>
      <c r="R67" s="3"/>
      <c r="S67" s="3"/>
      <c r="T67" s="3"/>
      <c r="U67" s="3"/>
      <c r="V67" s="3"/>
      <c r="W67" s="3"/>
      <c r="X67" s="3"/>
      <c r="Y67" s="3"/>
      <c r="Z67" s="3"/>
      <c r="AA67" s="3"/>
      <c r="AB67" s="3"/>
      <c r="AC67" s="3"/>
      <c r="AD67" s="3"/>
      <c r="AE67" s="3"/>
      <c r="AF67" s="3"/>
      <c r="AG67" s="3"/>
      <c r="AH67" s="3"/>
      <c r="AI67" s="3"/>
      <c r="AJ67" s="3"/>
      <c r="AK67" s="3"/>
      <c r="AL67" s="3"/>
      <c r="AM67" s="3"/>
    </row>
    <row r="68" spans="2:39" x14ac:dyDescent="0.2">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row>
    <row r="69" spans="2:39" x14ac:dyDescent="0.2">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row>
    <row r="70" spans="2:39" x14ac:dyDescent="0.2">
      <c r="B70" s="3"/>
      <c r="C70" s="3"/>
      <c r="D70" s="3"/>
      <c r="E70" s="3"/>
      <c r="F70" s="3"/>
      <c r="G70" s="3"/>
      <c r="H70" s="3"/>
      <c r="I70" s="3"/>
      <c r="J70" s="3"/>
      <c r="K70" s="3"/>
      <c r="L70" s="3"/>
      <c r="M70" s="3"/>
      <c r="N70" s="3"/>
      <c r="O70" s="3"/>
      <c r="P70" s="71"/>
      <c r="Q70" s="3"/>
      <c r="R70" s="3"/>
      <c r="S70" s="3"/>
      <c r="T70" s="3"/>
      <c r="U70" s="3"/>
      <c r="V70" s="3"/>
      <c r="W70" s="3"/>
      <c r="X70" s="3"/>
      <c r="Y70" s="3"/>
      <c r="Z70" s="3"/>
      <c r="AA70" s="3"/>
      <c r="AB70" s="3"/>
      <c r="AC70" s="3"/>
      <c r="AD70" s="3"/>
      <c r="AE70" s="3"/>
      <c r="AF70" s="3"/>
      <c r="AG70" s="3"/>
      <c r="AH70" s="3"/>
      <c r="AI70" s="3"/>
      <c r="AJ70" s="3"/>
      <c r="AK70" s="3"/>
      <c r="AL70" s="3"/>
      <c r="AM70" s="3"/>
    </row>
    <row r="71" spans="2:39" x14ac:dyDescent="0.2">
      <c r="B71" s="3"/>
      <c r="C71" s="3"/>
      <c r="D71" s="3"/>
      <c r="E71" s="3"/>
      <c r="F71" s="3"/>
      <c r="G71" s="3"/>
      <c r="H71" s="3"/>
      <c r="I71" s="3"/>
      <c r="J71" s="3"/>
      <c r="K71" s="3"/>
      <c r="L71" s="3"/>
      <c r="M71" s="3"/>
      <c r="N71" s="3"/>
      <c r="O71" s="3"/>
      <c r="P71" s="303"/>
      <c r="Q71" s="3"/>
      <c r="R71" s="3"/>
      <c r="S71" s="3"/>
      <c r="T71" s="3"/>
      <c r="U71" s="3"/>
      <c r="V71" s="3"/>
      <c r="W71" s="3"/>
      <c r="X71" s="3"/>
      <c r="Y71" s="3"/>
      <c r="Z71" s="3"/>
      <c r="AA71" s="3"/>
      <c r="AB71" s="3"/>
      <c r="AC71" s="3"/>
      <c r="AD71" s="3"/>
      <c r="AE71" s="3"/>
      <c r="AF71" s="3"/>
      <c r="AG71" s="3"/>
      <c r="AH71" s="3"/>
      <c r="AI71" s="3"/>
      <c r="AJ71" s="3"/>
      <c r="AK71" s="3"/>
      <c r="AL71" s="3"/>
      <c r="AM71" s="3"/>
    </row>
    <row r="72" spans="2:39" x14ac:dyDescent="0.2">
      <c r="B72" s="3"/>
      <c r="C72" s="3"/>
      <c r="D72" s="3"/>
      <c r="E72" s="3"/>
      <c r="F72" s="3"/>
      <c r="G72" s="3"/>
      <c r="H72" s="3"/>
      <c r="I72" s="3"/>
      <c r="J72" s="3"/>
      <c r="K72" s="3"/>
      <c r="L72" s="3"/>
      <c r="M72" s="3"/>
      <c r="N72" s="3"/>
      <c r="O72" s="3"/>
      <c r="P72" s="87"/>
      <c r="Q72" s="3"/>
      <c r="R72" s="3"/>
      <c r="S72" s="3"/>
      <c r="T72" s="3"/>
      <c r="U72" s="3"/>
      <c r="V72" s="3"/>
      <c r="W72" s="3"/>
      <c r="X72" s="3"/>
      <c r="Y72" s="3"/>
      <c r="Z72" s="3"/>
      <c r="AA72" s="3"/>
      <c r="AB72" s="3"/>
      <c r="AC72" s="3"/>
      <c r="AD72" s="3"/>
      <c r="AE72" s="3"/>
      <c r="AF72" s="3"/>
      <c r="AG72" s="3"/>
      <c r="AH72" s="3"/>
      <c r="AI72" s="3"/>
      <c r="AJ72" s="3"/>
      <c r="AK72" s="3"/>
      <c r="AL72" s="3"/>
      <c r="AM72" s="3"/>
    </row>
    <row r="73" spans="2:39" x14ac:dyDescent="0.2">
      <c r="B73" s="3"/>
      <c r="C73" s="3"/>
      <c r="D73" s="3"/>
      <c r="E73" s="3"/>
      <c r="F73" s="3"/>
      <c r="G73" s="3"/>
      <c r="H73" s="3"/>
      <c r="I73" s="3"/>
      <c r="J73" s="3"/>
      <c r="K73" s="3"/>
      <c r="L73" s="3"/>
      <c r="M73" s="3"/>
      <c r="N73" s="3"/>
      <c r="O73" s="3"/>
      <c r="P73" s="87"/>
      <c r="Q73" s="3"/>
      <c r="R73" s="3"/>
      <c r="S73" s="3"/>
      <c r="T73" s="3"/>
      <c r="U73" s="3"/>
      <c r="V73" s="3"/>
      <c r="W73" s="3"/>
      <c r="X73" s="3"/>
      <c r="Y73" s="3"/>
      <c r="Z73" s="3"/>
      <c r="AA73" s="3"/>
      <c r="AB73" s="3"/>
      <c r="AC73" s="3"/>
      <c r="AD73" s="3"/>
      <c r="AE73" s="3"/>
      <c r="AF73" s="3"/>
      <c r="AG73" s="3"/>
      <c r="AH73" s="3"/>
      <c r="AI73" s="3"/>
      <c r="AJ73" s="3"/>
      <c r="AK73" s="3"/>
      <c r="AL73" s="3"/>
      <c r="AM73" s="3"/>
    </row>
    <row r="74" spans="2:39" x14ac:dyDescent="0.2">
      <c r="B74" s="3"/>
      <c r="C74" s="3"/>
      <c r="D74" s="3"/>
      <c r="E74" s="3"/>
      <c r="F74" s="3"/>
      <c r="G74" s="3"/>
      <c r="H74" s="3"/>
      <c r="I74" s="3"/>
      <c r="J74" s="3"/>
      <c r="K74" s="3"/>
      <c r="L74" s="3"/>
      <c r="M74" s="3"/>
      <c r="N74" s="3"/>
      <c r="O74" s="3"/>
      <c r="P74" s="303"/>
      <c r="Q74" s="3"/>
      <c r="R74" s="3"/>
      <c r="S74" s="3"/>
      <c r="T74" s="3"/>
      <c r="U74" s="3"/>
      <c r="V74" s="3"/>
      <c r="W74" s="3"/>
      <c r="X74" s="3"/>
      <c r="Y74" s="3"/>
      <c r="Z74" s="3"/>
      <c r="AA74" s="3"/>
      <c r="AB74" s="3"/>
      <c r="AC74" s="3"/>
      <c r="AD74" s="3"/>
      <c r="AE74" s="3"/>
      <c r="AF74" s="3"/>
      <c r="AG74" s="3"/>
      <c r="AH74" s="3"/>
      <c r="AI74" s="3"/>
      <c r="AJ74" s="3"/>
      <c r="AK74" s="3"/>
      <c r="AL74" s="3"/>
      <c r="AM74" s="3"/>
    </row>
    <row r="75" spans="2:39" x14ac:dyDescent="0.2">
      <c r="B75" s="3"/>
      <c r="C75" s="3"/>
      <c r="D75" s="3"/>
      <c r="E75" s="3"/>
      <c r="F75" s="3"/>
      <c r="G75" s="3"/>
      <c r="H75" s="3"/>
      <c r="I75" s="3"/>
      <c r="J75" s="3"/>
      <c r="K75" s="3"/>
      <c r="L75" s="3"/>
      <c r="M75" s="3"/>
      <c r="N75" s="3"/>
      <c r="O75" s="3"/>
      <c r="P75" s="702"/>
      <c r="Q75" s="3"/>
      <c r="R75" s="3"/>
      <c r="S75" s="3"/>
      <c r="T75" s="3"/>
      <c r="U75" s="3"/>
      <c r="V75" s="3"/>
      <c r="W75" s="3"/>
      <c r="X75" s="3"/>
      <c r="Y75" s="3"/>
      <c r="Z75" s="3"/>
      <c r="AA75" s="3"/>
      <c r="AB75" s="3"/>
      <c r="AC75" s="3"/>
      <c r="AD75" s="3"/>
      <c r="AE75" s="3"/>
      <c r="AF75" s="3"/>
      <c r="AG75" s="3"/>
      <c r="AH75" s="3"/>
      <c r="AI75" s="3"/>
      <c r="AJ75" s="3"/>
      <c r="AK75" s="3"/>
      <c r="AL75" s="3"/>
      <c r="AM75" s="3"/>
    </row>
    <row r="76" spans="2:39" x14ac:dyDescent="0.2">
      <c r="B76" s="3"/>
      <c r="C76" s="3"/>
      <c r="D76" s="3"/>
      <c r="E76" s="3"/>
      <c r="F76" s="3"/>
      <c r="G76" s="3"/>
      <c r="H76" s="3"/>
      <c r="I76" s="3"/>
      <c r="J76" s="3"/>
      <c r="K76" s="3"/>
      <c r="L76" s="3"/>
      <c r="M76" s="3"/>
      <c r="N76" s="3"/>
      <c r="O76" s="172"/>
      <c r="P76" s="3"/>
      <c r="Q76" s="3"/>
      <c r="R76" s="3"/>
      <c r="S76" s="3"/>
      <c r="T76" s="3"/>
      <c r="U76" s="3"/>
      <c r="V76" s="3"/>
      <c r="W76" s="3"/>
      <c r="X76" s="3"/>
      <c r="Y76" s="3"/>
      <c r="Z76" s="3"/>
      <c r="AA76" s="3"/>
      <c r="AB76" s="3"/>
      <c r="AC76" s="3"/>
      <c r="AD76" s="3"/>
      <c r="AE76" s="3"/>
      <c r="AF76" s="3"/>
      <c r="AG76" s="3"/>
      <c r="AH76" s="3"/>
      <c r="AI76" s="3"/>
      <c r="AJ76" s="3"/>
      <c r="AK76" s="3"/>
      <c r="AL76" s="3"/>
      <c r="AM76" s="3"/>
    </row>
    <row r="77" spans="2:39" x14ac:dyDescent="0.2">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row>
    <row r="78" spans="2:39" x14ac:dyDescent="0.2">
      <c r="B78" s="3"/>
      <c r="C78" s="3"/>
      <c r="D78" s="3"/>
      <c r="E78" s="3"/>
      <c r="F78" s="3"/>
      <c r="G78" s="711"/>
      <c r="H78" s="696"/>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row>
    <row r="79" spans="2:39" x14ac:dyDescent="0.2">
      <c r="B79" s="3"/>
      <c r="C79" s="3"/>
      <c r="D79" s="3"/>
      <c r="E79" s="3"/>
      <c r="F79" s="3"/>
      <c r="G79" s="87"/>
      <c r="H79" s="696"/>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row>
    <row r="80" spans="2:39" x14ac:dyDescent="0.2">
      <c r="B80" s="3"/>
      <c r="C80" s="3"/>
      <c r="D80" s="3"/>
      <c r="E80" s="3"/>
      <c r="F80" s="3"/>
      <c r="G80" s="3"/>
      <c r="H80" s="3"/>
      <c r="I80" s="3"/>
      <c r="J80" s="3"/>
      <c r="K80" s="3"/>
      <c r="L80" s="3"/>
      <c r="M80" s="3"/>
      <c r="N80" s="3"/>
      <c r="O80" s="3"/>
      <c r="P80" s="702"/>
      <c r="Q80" s="3"/>
      <c r="R80" s="3"/>
      <c r="S80" s="3"/>
      <c r="T80" s="3"/>
      <c r="U80" s="3"/>
      <c r="V80" s="3"/>
      <c r="W80" s="3"/>
      <c r="X80" s="3"/>
      <c r="Y80" s="3"/>
      <c r="Z80" s="3"/>
      <c r="AA80" s="3"/>
      <c r="AB80" s="3"/>
      <c r="AC80" s="3"/>
      <c r="AD80" s="3"/>
      <c r="AE80" s="3"/>
      <c r="AF80" s="3"/>
      <c r="AG80" s="3"/>
      <c r="AH80" s="3"/>
      <c r="AI80" s="3"/>
      <c r="AJ80" s="3"/>
      <c r="AK80" s="3"/>
      <c r="AL80" s="3"/>
      <c r="AM80" s="3"/>
    </row>
    <row r="81" spans="2:39" x14ac:dyDescent="0.2">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row>
    <row r="82" spans="2:39" x14ac:dyDescent="0.2">
      <c r="B82" s="3"/>
      <c r="C82" s="3"/>
      <c r="D82" s="3"/>
      <c r="E82" s="3"/>
      <c r="F82" s="3"/>
      <c r="G82" s="3"/>
      <c r="H82" s="3"/>
      <c r="I82" s="3"/>
      <c r="J82" s="3"/>
      <c r="K82" s="3"/>
      <c r="L82" s="3"/>
      <c r="M82" s="3"/>
      <c r="N82" s="3"/>
      <c r="O82" s="67"/>
      <c r="P82" s="710"/>
      <c r="Q82" s="3"/>
      <c r="R82" s="3"/>
      <c r="S82" s="3"/>
      <c r="T82" s="3"/>
      <c r="U82" s="3"/>
      <c r="V82" s="3"/>
      <c r="W82" s="3"/>
      <c r="X82" s="3"/>
      <c r="Y82" s="3"/>
      <c r="Z82" s="3"/>
      <c r="AA82" s="3"/>
      <c r="AB82" s="3"/>
      <c r="AC82" s="3"/>
      <c r="AD82" s="3"/>
      <c r="AE82" s="3"/>
      <c r="AF82" s="3"/>
      <c r="AG82" s="3"/>
      <c r="AH82" s="3"/>
      <c r="AI82" s="3"/>
      <c r="AJ82" s="3"/>
      <c r="AK82" s="3"/>
      <c r="AL82" s="3"/>
      <c r="AM82" s="3"/>
    </row>
    <row r="83" spans="2:39" x14ac:dyDescent="0.2">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row>
    <row r="84" spans="2:39" x14ac:dyDescent="0.2">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row>
    <row r="85" spans="2:39" x14ac:dyDescent="0.2">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row>
    <row r="86" spans="2:39" x14ac:dyDescent="0.2">
      <c r="B86" s="3"/>
      <c r="C86" s="3"/>
      <c r="D86" s="3"/>
      <c r="E86" s="3"/>
      <c r="F86" s="3"/>
      <c r="G86" s="3"/>
      <c r="H86" s="3"/>
      <c r="I86" s="3"/>
      <c r="J86" s="3"/>
      <c r="K86" s="3"/>
      <c r="L86" s="71"/>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row>
    <row r="87" spans="2:39" x14ac:dyDescent="0.2">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row>
    <row r="88" spans="2:39" x14ac:dyDescent="0.2">
      <c r="B88" s="3"/>
      <c r="C88" s="3"/>
      <c r="D88" s="3"/>
      <c r="E88" s="3"/>
      <c r="F88" s="3"/>
      <c r="G88" s="3"/>
      <c r="H88" s="3"/>
      <c r="I88" s="3"/>
      <c r="J88" s="3"/>
      <c r="K88" s="3"/>
      <c r="L88" s="87"/>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row>
    <row r="89" spans="2:39" x14ac:dyDescent="0.2">
      <c r="B89" s="3"/>
      <c r="C89" s="3"/>
      <c r="D89" s="3"/>
      <c r="E89" s="3"/>
      <c r="F89" s="3"/>
      <c r="G89" s="3"/>
      <c r="H89" s="3"/>
      <c r="I89" s="3"/>
      <c r="J89" s="3"/>
      <c r="K89" s="3"/>
      <c r="L89" s="87"/>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row>
    <row r="90" spans="2:39" x14ac:dyDescent="0.2">
      <c r="B90" s="3"/>
      <c r="C90" s="3"/>
      <c r="D90" s="3"/>
      <c r="E90" s="3"/>
      <c r="F90" s="3"/>
      <c r="G90" s="3"/>
      <c r="H90" s="3"/>
      <c r="I90" s="3"/>
      <c r="J90" s="3"/>
      <c r="K90" s="3"/>
      <c r="L90" s="30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row>
    <row r="91" spans="2:39" x14ac:dyDescent="0.2">
      <c r="B91" s="3"/>
      <c r="C91" s="3"/>
      <c r="D91" s="3"/>
      <c r="E91" s="3"/>
      <c r="F91" s="3"/>
      <c r="G91" s="3"/>
      <c r="H91" s="3"/>
      <c r="I91" s="3"/>
      <c r="J91" s="3"/>
      <c r="K91" s="3"/>
      <c r="L91" s="702"/>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row>
    <row r="92" spans="2:39" x14ac:dyDescent="0.2">
      <c r="B92" s="3"/>
      <c r="C92" s="3"/>
      <c r="D92" s="3"/>
      <c r="E92" s="3"/>
      <c r="F92" s="3"/>
      <c r="G92" s="3"/>
      <c r="H92" s="3"/>
      <c r="I92" s="3"/>
      <c r="J92" s="3"/>
      <c r="K92" s="3"/>
      <c r="L92" s="3"/>
      <c r="M92" s="3"/>
      <c r="N92" s="3"/>
      <c r="O92" s="3"/>
      <c r="P92" s="3"/>
      <c r="Q92" s="3"/>
      <c r="R92" s="3"/>
      <c r="S92" s="3"/>
      <c r="T92" s="3"/>
      <c r="U92" s="3"/>
      <c r="V92" s="71"/>
      <c r="W92" s="3"/>
      <c r="X92" s="3"/>
      <c r="Y92" s="3"/>
      <c r="Z92" s="3"/>
      <c r="AA92" s="3"/>
      <c r="AB92" s="3"/>
      <c r="AC92" s="3"/>
      <c r="AD92" s="3"/>
      <c r="AE92" s="3"/>
      <c r="AF92" s="3"/>
      <c r="AG92" s="3"/>
      <c r="AH92" s="3"/>
      <c r="AI92" s="3"/>
      <c r="AJ92" s="3"/>
      <c r="AK92" s="3"/>
      <c r="AL92" s="3"/>
      <c r="AM92" s="3"/>
    </row>
    <row r="93" spans="2:39" x14ac:dyDescent="0.2">
      <c r="B93" s="3"/>
      <c r="C93" s="3"/>
      <c r="D93" s="3"/>
      <c r="E93" s="3"/>
      <c r="F93" s="3"/>
      <c r="G93" s="3"/>
      <c r="H93" s="3"/>
      <c r="I93" s="3"/>
      <c r="J93" s="3"/>
      <c r="K93" s="3"/>
      <c r="L93" s="3"/>
      <c r="M93" s="3"/>
      <c r="N93" s="3"/>
      <c r="O93" s="3"/>
      <c r="P93" s="3"/>
      <c r="Q93" s="3"/>
      <c r="R93" s="3"/>
      <c r="S93" s="3"/>
      <c r="T93" s="3"/>
      <c r="U93" s="3"/>
      <c r="V93" s="303"/>
      <c r="W93" s="703"/>
      <c r="X93" s="3"/>
      <c r="Y93" s="3"/>
      <c r="Z93" s="3"/>
      <c r="AA93" s="3"/>
      <c r="AB93" s="3"/>
      <c r="AC93" s="3"/>
      <c r="AD93" s="3"/>
      <c r="AE93" s="3"/>
      <c r="AF93" s="3"/>
      <c r="AG93" s="3"/>
      <c r="AH93" s="3"/>
      <c r="AI93" s="3"/>
      <c r="AJ93" s="3"/>
      <c r="AK93" s="3"/>
      <c r="AL93" s="3"/>
      <c r="AM93" s="3"/>
    </row>
    <row r="94" spans="2:39" x14ac:dyDescent="0.2">
      <c r="B94" s="3"/>
      <c r="C94" s="3"/>
      <c r="D94" s="3"/>
      <c r="E94" s="3"/>
      <c r="F94" s="3"/>
      <c r="G94" s="3"/>
      <c r="H94" s="3"/>
      <c r="I94" s="3"/>
      <c r="J94" s="3"/>
      <c r="K94" s="3"/>
      <c r="L94" s="3"/>
      <c r="M94" s="3"/>
      <c r="N94" s="3"/>
      <c r="O94" s="3"/>
      <c r="P94" s="3"/>
      <c r="Q94" s="3"/>
      <c r="R94" s="3"/>
      <c r="S94" s="3"/>
      <c r="T94" s="3"/>
      <c r="U94" s="3"/>
      <c r="V94" s="87"/>
      <c r="W94" s="3"/>
      <c r="X94" s="3"/>
      <c r="Y94" s="3"/>
      <c r="Z94" s="3"/>
      <c r="AA94" s="3"/>
      <c r="AB94" s="3"/>
      <c r="AC94" s="3"/>
      <c r="AD94" s="3"/>
      <c r="AE94" s="3"/>
      <c r="AF94" s="3"/>
      <c r="AG94" s="3"/>
      <c r="AH94" s="3"/>
      <c r="AI94" s="3"/>
      <c r="AJ94" s="3"/>
      <c r="AK94" s="3"/>
      <c r="AL94" s="3"/>
      <c r="AM94" s="3"/>
    </row>
    <row r="95" spans="2:39" x14ac:dyDescent="0.2">
      <c r="B95" s="3"/>
      <c r="C95" s="3"/>
      <c r="D95" s="3"/>
      <c r="E95" s="3"/>
      <c r="F95" s="3"/>
      <c r="G95" s="3"/>
      <c r="H95" s="3"/>
      <c r="I95" s="3"/>
      <c r="J95" s="3"/>
      <c r="K95" s="3"/>
      <c r="L95" s="3"/>
      <c r="M95" s="3"/>
      <c r="N95" s="3"/>
      <c r="O95" s="3"/>
      <c r="P95" s="3"/>
      <c r="Q95" s="3"/>
      <c r="R95" s="3"/>
      <c r="S95" s="3"/>
      <c r="T95" s="3"/>
      <c r="U95" s="3"/>
      <c r="V95" s="87"/>
      <c r="W95" s="3"/>
      <c r="X95" s="3"/>
      <c r="Y95" s="3"/>
      <c r="Z95" s="3"/>
      <c r="AA95" s="3"/>
      <c r="AB95" s="3"/>
      <c r="AC95" s="3"/>
      <c r="AD95" s="3"/>
      <c r="AE95" s="3"/>
      <c r="AF95" s="3"/>
      <c r="AG95" s="3"/>
      <c r="AH95" s="3"/>
      <c r="AI95" s="3"/>
      <c r="AJ95" s="3"/>
      <c r="AK95" s="3"/>
      <c r="AL95" s="3"/>
      <c r="AM95" s="3"/>
    </row>
    <row r="96" spans="2:39" x14ac:dyDescent="0.2">
      <c r="B96" s="3"/>
      <c r="C96" s="3"/>
      <c r="D96" s="3"/>
      <c r="E96" s="3"/>
      <c r="F96" s="3"/>
      <c r="G96" s="3"/>
      <c r="H96" s="3"/>
      <c r="I96" s="3"/>
      <c r="J96" s="3"/>
      <c r="K96" s="3"/>
      <c r="L96" s="3"/>
      <c r="M96" s="3"/>
      <c r="N96" s="3"/>
      <c r="O96" s="3"/>
      <c r="P96" s="3"/>
      <c r="Q96" s="3"/>
      <c r="R96" s="3"/>
      <c r="S96" s="3"/>
      <c r="T96" s="3"/>
      <c r="U96" s="3"/>
      <c r="V96" s="303"/>
      <c r="W96" s="3"/>
      <c r="X96" s="3"/>
      <c r="Y96" s="3"/>
      <c r="Z96" s="3"/>
      <c r="AA96" s="3"/>
      <c r="AB96" s="3"/>
      <c r="AC96" s="3"/>
      <c r="AD96" s="3"/>
      <c r="AE96" s="3"/>
      <c r="AF96" s="3"/>
      <c r="AG96" s="3"/>
      <c r="AH96" s="3"/>
      <c r="AI96" s="3"/>
      <c r="AJ96" s="3"/>
      <c r="AK96" s="3"/>
      <c r="AL96" s="3"/>
      <c r="AM96" s="3"/>
    </row>
    <row r="97" spans="2:39" x14ac:dyDescent="0.2">
      <c r="B97" s="3"/>
      <c r="C97" s="3"/>
      <c r="D97" s="3"/>
      <c r="E97" s="3"/>
      <c r="F97" s="3"/>
      <c r="G97" s="3"/>
      <c r="H97" s="3"/>
      <c r="I97" s="3"/>
      <c r="J97" s="3"/>
      <c r="K97" s="3"/>
      <c r="L97" s="3"/>
      <c r="M97" s="3"/>
      <c r="N97" s="3"/>
      <c r="O97" s="3"/>
      <c r="P97" s="3"/>
      <c r="Q97" s="3"/>
      <c r="R97" s="3"/>
      <c r="S97" s="3"/>
      <c r="T97" s="3"/>
      <c r="U97" s="3"/>
      <c r="V97" s="702"/>
      <c r="W97" s="3"/>
      <c r="X97" s="3"/>
      <c r="Y97" s="3"/>
      <c r="Z97" s="3"/>
      <c r="AA97" s="3"/>
      <c r="AB97" s="3"/>
      <c r="AC97" s="3"/>
      <c r="AD97" s="3"/>
      <c r="AE97" s="3"/>
      <c r="AF97" s="3"/>
      <c r="AG97" s="3"/>
      <c r="AH97" s="3"/>
      <c r="AI97" s="3"/>
      <c r="AJ97" s="3"/>
      <c r="AK97" s="3"/>
      <c r="AL97" s="3"/>
      <c r="AM97" s="3"/>
    </row>
    <row r="98" spans="2:39" x14ac:dyDescent="0.2">
      <c r="B98" s="3"/>
      <c r="C98" s="3"/>
      <c r="D98" s="3"/>
      <c r="E98" s="3"/>
      <c r="F98" s="3"/>
      <c r="G98" s="3"/>
      <c r="H98" s="3"/>
      <c r="I98" s="3"/>
      <c r="J98" s="3"/>
      <c r="K98" s="3"/>
      <c r="L98" s="3"/>
      <c r="M98" s="3"/>
      <c r="N98" s="3"/>
      <c r="O98" s="3"/>
      <c r="P98" s="3"/>
      <c r="Q98" s="3"/>
      <c r="R98" s="3"/>
      <c r="S98" s="3"/>
      <c r="T98" s="3"/>
      <c r="U98" s="172"/>
      <c r="V98" s="3"/>
      <c r="W98" s="3"/>
      <c r="X98" s="3"/>
      <c r="Y98" s="3"/>
      <c r="Z98" s="3"/>
      <c r="AA98" s="3"/>
      <c r="AB98" s="3"/>
      <c r="AC98" s="3"/>
      <c r="AD98" s="3"/>
      <c r="AE98" s="3"/>
      <c r="AF98" s="3"/>
      <c r="AG98" s="3"/>
      <c r="AH98" s="3"/>
      <c r="AI98" s="3"/>
      <c r="AJ98" s="3"/>
      <c r="AK98" s="3"/>
      <c r="AL98" s="3"/>
      <c r="AM98" s="3"/>
    </row>
    <row r="99" spans="2:39" x14ac:dyDescent="0.2">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row>
    <row r="100" spans="2:39" x14ac:dyDescent="0.2">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row>
    <row r="101" spans="2:39" x14ac:dyDescent="0.2">
      <c r="B101" s="3"/>
      <c r="C101" s="3"/>
      <c r="D101" s="3"/>
      <c r="E101" s="3"/>
      <c r="F101" s="3"/>
      <c r="G101" s="3"/>
      <c r="H101" s="3"/>
      <c r="I101" s="3"/>
      <c r="J101" s="3"/>
      <c r="K101" s="3"/>
      <c r="L101" s="3"/>
      <c r="M101" s="3"/>
      <c r="N101" s="3"/>
      <c r="O101" s="711"/>
      <c r="P101" s="696"/>
      <c r="Q101" s="3"/>
      <c r="R101" s="3"/>
      <c r="S101" s="3"/>
      <c r="T101" s="3"/>
      <c r="U101" s="3"/>
      <c r="V101" s="3"/>
      <c r="W101" s="3"/>
      <c r="X101" s="3"/>
      <c r="Y101" s="3"/>
      <c r="Z101" s="3"/>
      <c r="AA101" s="3"/>
      <c r="AB101" s="3"/>
      <c r="AC101" s="3"/>
      <c r="AD101" s="3"/>
      <c r="AE101" s="3"/>
      <c r="AF101" s="3"/>
      <c r="AG101" s="3"/>
      <c r="AH101" s="3"/>
      <c r="AI101" s="3"/>
      <c r="AJ101" s="3"/>
      <c r="AK101" s="3"/>
      <c r="AL101" s="3"/>
      <c r="AM101" s="3"/>
    </row>
    <row r="102" spans="2:39" x14ac:dyDescent="0.2">
      <c r="B102" s="3"/>
      <c r="C102" s="3"/>
      <c r="D102" s="3"/>
      <c r="E102" s="3"/>
      <c r="F102" s="3"/>
      <c r="G102" s="3"/>
      <c r="H102" s="3"/>
      <c r="I102" s="3"/>
      <c r="J102" s="3"/>
      <c r="K102" s="3"/>
      <c r="L102" s="3"/>
      <c r="M102" s="3"/>
      <c r="N102" s="3"/>
      <c r="O102" s="87"/>
      <c r="P102" s="696"/>
      <c r="Q102" s="3"/>
      <c r="R102" s="3"/>
      <c r="S102" s="3"/>
      <c r="T102" s="3"/>
      <c r="U102" s="3"/>
      <c r="V102" s="702"/>
      <c r="W102" s="3"/>
      <c r="X102" s="3"/>
      <c r="Y102" s="3"/>
      <c r="Z102" s="3"/>
      <c r="AA102" s="3"/>
      <c r="AB102" s="3"/>
      <c r="AC102" s="3"/>
      <c r="AD102" s="3"/>
      <c r="AE102" s="3"/>
      <c r="AF102" s="3"/>
      <c r="AG102" s="3"/>
      <c r="AH102" s="3"/>
      <c r="AI102" s="3"/>
      <c r="AJ102" s="3"/>
      <c r="AK102" s="3"/>
      <c r="AL102" s="3"/>
      <c r="AM102" s="3"/>
    </row>
    <row r="103" spans="2:39" x14ac:dyDescent="0.2">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row>
    <row r="104" spans="2:39" x14ac:dyDescent="0.2">
      <c r="B104" s="3"/>
      <c r="C104" s="3"/>
      <c r="D104" s="3"/>
      <c r="E104" s="3"/>
      <c r="F104" s="3"/>
      <c r="G104" s="3"/>
      <c r="H104" s="3"/>
      <c r="I104" s="3"/>
      <c r="J104" s="3"/>
      <c r="K104" s="3"/>
      <c r="L104" s="3"/>
      <c r="M104" s="3"/>
      <c r="N104" s="3"/>
      <c r="O104" s="3"/>
      <c r="P104" s="3"/>
      <c r="Q104" s="3"/>
      <c r="R104" s="3"/>
      <c r="S104" s="3"/>
      <c r="T104" s="3"/>
      <c r="U104" s="67"/>
      <c r="V104" s="710"/>
      <c r="W104" s="3"/>
      <c r="X104" s="3"/>
      <c r="Y104" s="3"/>
      <c r="Z104" s="3"/>
      <c r="AA104" s="3"/>
      <c r="AB104" s="3"/>
      <c r="AC104" s="3"/>
      <c r="AD104" s="3"/>
      <c r="AE104" s="3"/>
      <c r="AF104" s="3"/>
      <c r="AG104" s="3"/>
      <c r="AH104" s="3"/>
      <c r="AI104" s="3"/>
      <c r="AJ104" s="3"/>
      <c r="AK104" s="3"/>
      <c r="AL104" s="3"/>
      <c r="AM104" s="3"/>
    </row>
    <row r="105" spans="2:39" x14ac:dyDescent="0.2">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row>
  </sheetData>
  <mergeCells count="14">
    <mergeCell ref="M65:P66"/>
    <mergeCell ref="P7:P11"/>
    <mergeCell ref="K6:L6"/>
    <mergeCell ref="M34:P35"/>
    <mergeCell ref="B37:H37"/>
    <mergeCell ref="C38:H38"/>
    <mergeCell ref="B54:H54"/>
    <mergeCell ref="C55:H55"/>
    <mergeCell ref="M49:P50"/>
    <mergeCell ref="B3:P3"/>
    <mergeCell ref="C7:H7"/>
    <mergeCell ref="B6:H6"/>
    <mergeCell ref="B22:H22"/>
    <mergeCell ref="C23:H23"/>
  </mergeCells>
  <hyperlinks>
    <hyperlink ref="B1" location="Index!A1" display="Back to Index" xr:uid="{6E514D40-7FF3-47A7-A14F-AF1B0BE9B795}"/>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7526A-FB34-4355-94DF-7B946FC0567F}">
  <sheetPr>
    <tabColor rgb="FF7030A0"/>
  </sheetPr>
  <dimension ref="A1:J39"/>
  <sheetViews>
    <sheetView showGridLines="0" zoomScaleNormal="100" workbookViewId="0">
      <pane ySplit="5" topLeftCell="A18" activePane="bottomLeft" state="frozen"/>
      <selection pane="bottomLeft"/>
    </sheetView>
  </sheetViews>
  <sheetFormatPr baseColWidth="10" defaultColWidth="8.83203125" defaultRowHeight="15" x14ac:dyDescent="0.2"/>
  <cols>
    <col min="1" max="1" width="1.83203125" customWidth="1"/>
    <col min="2" max="2" width="57.5" bestFit="1" customWidth="1"/>
    <col min="3" max="3" width="14.83203125" customWidth="1"/>
    <col min="4" max="4" width="15.1640625" bestFit="1" customWidth="1"/>
    <col min="5" max="5" width="14.6640625" bestFit="1" customWidth="1"/>
    <col min="6" max="6" width="10.33203125" bestFit="1" customWidth="1"/>
    <col min="7" max="7" width="14.33203125" bestFit="1" customWidth="1"/>
    <col min="8" max="8" width="13.33203125" bestFit="1" customWidth="1"/>
    <col min="9" max="9" width="18.83203125" customWidth="1"/>
    <col min="10" max="10" width="14.33203125" bestFit="1" customWidth="1"/>
    <col min="11" max="11" width="13.33203125" bestFit="1" customWidth="1"/>
    <col min="12" max="12" width="10.1640625" bestFit="1" customWidth="1"/>
    <col min="13" max="13" width="14.33203125" bestFit="1" customWidth="1"/>
    <col min="14" max="14" width="13.1640625" bestFit="1" customWidth="1"/>
    <col min="16" max="16" width="14.1640625" bestFit="1" customWidth="1"/>
    <col min="17" max="17" width="13.1640625" bestFit="1" customWidth="1"/>
  </cols>
  <sheetData>
    <row r="1" spans="1:10" s="189" customFormat="1" x14ac:dyDescent="0.2">
      <c r="A1" s="5"/>
      <c r="B1" s="56" t="s">
        <v>37</v>
      </c>
      <c r="C1" s="190"/>
    </row>
    <row r="2" spans="1:10" s="189" customFormat="1" x14ac:dyDescent="0.2">
      <c r="A2" s="5"/>
      <c r="B2" s="56"/>
      <c r="C2" s="190"/>
    </row>
    <row r="3" spans="1:10" s="189" customFormat="1" x14ac:dyDescent="0.2">
      <c r="A3" s="5"/>
      <c r="B3" s="1440" t="s">
        <v>973</v>
      </c>
      <c r="C3" s="1466"/>
      <c r="D3" s="1467"/>
      <c r="E3" s="1467"/>
      <c r="F3" s="1467"/>
      <c r="G3" s="1467"/>
      <c r="H3" s="1467"/>
      <c r="I3" s="1467"/>
      <c r="J3" s="1467"/>
    </row>
    <row r="4" spans="1:10" s="189" customFormat="1" x14ac:dyDescent="0.2">
      <c r="A4" s="5"/>
      <c r="B4" s="56"/>
      <c r="C4" s="190"/>
    </row>
    <row r="5" spans="1:10" s="189" customFormat="1" ht="16" thickBot="1" x14ac:dyDescent="0.25">
      <c r="B5" s="191"/>
      <c r="C5" s="192"/>
      <c r="D5" s="193" t="s">
        <v>41</v>
      </c>
      <c r="E5" s="192" t="s">
        <v>42</v>
      </c>
      <c r="F5" s="192" t="s">
        <v>43</v>
      </c>
      <c r="G5" s="192" t="s">
        <v>44</v>
      </c>
      <c r="H5" s="192" t="s">
        <v>45</v>
      </c>
    </row>
    <row r="6" spans="1:10" ht="16" thickBot="1" x14ac:dyDescent="0.25">
      <c r="B6" s="194" t="s">
        <v>795</v>
      </c>
      <c r="C6" s="194" t="s">
        <v>409</v>
      </c>
      <c r="D6" s="194" t="s">
        <v>1441</v>
      </c>
      <c r="E6" s="194" t="s">
        <v>1441</v>
      </c>
      <c r="F6" s="194" t="s">
        <v>1441</v>
      </c>
      <c r="G6" s="194" t="s">
        <v>1441</v>
      </c>
      <c r="H6" s="194" t="s">
        <v>1441</v>
      </c>
      <c r="I6" s="620" t="s">
        <v>1442</v>
      </c>
      <c r="J6" s="620" t="s">
        <v>398</v>
      </c>
    </row>
    <row r="7" spans="1:10" x14ac:dyDescent="0.2">
      <c r="C7" s="52"/>
      <c r="D7" s="195" t="s">
        <v>41</v>
      </c>
      <c r="E7" s="195" t="s">
        <v>42</v>
      </c>
      <c r="F7" s="195" t="s">
        <v>43</v>
      </c>
      <c r="G7" s="195" t="s">
        <v>44</v>
      </c>
      <c r="H7" s="195" t="s">
        <v>45</v>
      </c>
      <c r="I7" s="608"/>
      <c r="J7" s="607"/>
    </row>
    <row r="8" spans="1:10" x14ac:dyDescent="0.2">
      <c r="C8" s="52"/>
      <c r="I8" s="608"/>
      <c r="J8" s="607"/>
    </row>
    <row r="9" spans="1:10" x14ac:dyDescent="0.2">
      <c r="B9" s="5" t="s">
        <v>1443</v>
      </c>
      <c r="C9" s="52"/>
      <c r="D9" s="86">
        <f>'MK Avg Manf. Selling Price'!F13*I9</f>
        <v>84.778571428571439</v>
      </c>
      <c r="E9" s="196">
        <f>'MK Avg Manf. Selling Price'!F21*I9</f>
        <v>86.661764705882362</v>
      </c>
      <c r="F9" s="196">
        <f>'MK Avg Manf. Selling Price'!F29*I9</f>
        <v>85.094394687154605</v>
      </c>
      <c r="G9" s="197">
        <f>'MK Avg Manf. Selling Price'!F38*I9</f>
        <v>76.655946659340358</v>
      </c>
      <c r="H9" s="197">
        <f>'MK Avg Manf. Selling Price'!F46*I9</f>
        <v>75.431718016378113</v>
      </c>
      <c r="I9" s="621">
        <v>1</v>
      </c>
      <c r="J9" s="607" t="s">
        <v>1444</v>
      </c>
    </row>
    <row r="10" spans="1:10" x14ac:dyDescent="0.2">
      <c r="C10" s="52"/>
      <c r="I10" s="622"/>
      <c r="J10" s="607"/>
    </row>
    <row r="11" spans="1:10" ht="32" x14ac:dyDescent="0.2">
      <c r="B11" t="s">
        <v>799</v>
      </c>
      <c r="C11" s="52"/>
      <c r="D11" s="198">
        <f>'MK Bases Model (Base Case)'!C7</f>
        <v>8384991.9999999991</v>
      </c>
      <c r="E11" s="198">
        <f>'MK Bases Model (Base Case)'!D7</f>
        <v>8566206.5786870942</v>
      </c>
      <c r="F11" s="198">
        <f>'MK Bases Model (Base Case)'!E7</f>
        <v>8751337.5264689643</v>
      </c>
      <c r="G11" s="198">
        <f>'MK Bases Model (Base Case)'!F7</f>
        <v>8940469.4830418061</v>
      </c>
      <c r="H11" s="198">
        <f>'MK Bases Model (Base Case)'!G7</f>
        <v>9133688.9173160717</v>
      </c>
      <c r="I11" s="630" t="s">
        <v>1445</v>
      </c>
      <c r="J11" s="607"/>
    </row>
    <row r="12" spans="1:10" ht="32" x14ac:dyDescent="0.2">
      <c r="B12" t="s">
        <v>1446</v>
      </c>
      <c r="C12" s="52"/>
      <c r="D12" s="64">
        <f>'MK Bases Model (Base Case)'!C9</f>
        <v>0.16374844537815125</v>
      </c>
      <c r="E12" s="199">
        <f>'MK Bases Model (Base Case)'!D9</f>
        <v>0.16017037815126051</v>
      </c>
      <c r="F12" s="200">
        <f>'MK Bases Model (Base Case)'!E9</f>
        <v>0.16314838118684324</v>
      </c>
      <c r="G12" s="199">
        <f>'MK Bases Model (Base Case)'!F9</f>
        <v>0.17918143243969031</v>
      </c>
      <c r="H12" s="199">
        <f>'MK Bases Model (Base Case)'!G9</f>
        <v>0.18150746686131858</v>
      </c>
      <c r="I12" s="630" t="s">
        <v>1445</v>
      </c>
      <c r="J12" s="607"/>
    </row>
    <row r="13" spans="1:10" ht="32" x14ac:dyDescent="0.2">
      <c r="B13" t="s">
        <v>801</v>
      </c>
      <c r="C13" s="52"/>
      <c r="D13" s="64">
        <f>'MK IMC Schedule'!T54</f>
        <v>7.0800000000000002E-2</v>
      </c>
      <c r="E13" s="199">
        <f>'MK IMC Schedule'!T104</f>
        <v>0.11552788037831878</v>
      </c>
      <c r="F13" s="200">
        <f>'MK IMC Schedule'!T154</f>
        <v>0.22599816595833735</v>
      </c>
      <c r="G13" s="199">
        <f>'MK IMC Schedule'!T223</f>
        <v>0.28163940665543019</v>
      </c>
      <c r="H13" s="199">
        <f>'MK IMC Schedule'!T294</f>
        <v>0.30987634925741753</v>
      </c>
      <c r="I13" s="630" t="s">
        <v>1445</v>
      </c>
      <c r="J13" s="607"/>
    </row>
    <row r="14" spans="1:10" ht="32" x14ac:dyDescent="0.2">
      <c r="B14" t="s">
        <v>1447</v>
      </c>
      <c r="C14" s="52"/>
      <c r="D14" s="58">
        <f>'MK ACV'!C9</f>
        <v>0.13999999999999999</v>
      </c>
      <c r="E14" s="58">
        <f>'MK ACV'!C14</f>
        <v>0.16999999999999998</v>
      </c>
      <c r="F14" s="58">
        <f>'MK ACV'!C20</f>
        <v>0.22</v>
      </c>
      <c r="G14" s="58">
        <f>'MK ACV'!C26</f>
        <v>0.27</v>
      </c>
      <c r="H14" s="58">
        <f>'MK ACV'!C32</f>
        <v>0.33</v>
      </c>
      <c r="I14" s="630" t="s">
        <v>1445</v>
      </c>
      <c r="J14" s="607"/>
    </row>
    <row r="15" spans="1:10" ht="32" x14ac:dyDescent="0.2">
      <c r="B15" t="s">
        <v>1448</v>
      </c>
      <c r="C15" s="52"/>
      <c r="D15" s="200">
        <v>0</v>
      </c>
      <c r="E15" s="200">
        <v>0</v>
      </c>
      <c r="F15" s="200">
        <v>0</v>
      </c>
      <c r="G15" s="200">
        <v>0</v>
      </c>
      <c r="H15" s="200">
        <v>0</v>
      </c>
      <c r="I15" s="630" t="s">
        <v>1445</v>
      </c>
      <c r="J15" s="607"/>
    </row>
    <row r="16" spans="1:10" x14ac:dyDescent="0.2">
      <c r="B16" s="5" t="s">
        <v>1449</v>
      </c>
      <c r="C16" s="52"/>
      <c r="D16" s="201">
        <f>ROUND(D11*D12*D13*D14*(1-D15),0)</f>
        <v>13609</v>
      </c>
      <c r="E16" s="201">
        <f>E11*E12*E13*E14*(1-E15)</f>
        <v>26946.754829430902</v>
      </c>
      <c r="F16" s="201">
        <f>F11*F12*F13*F14*(1-F15)</f>
        <v>70987.976810634093</v>
      </c>
      <c r="G16" s="201">
        <f>G11*G12*G13*G14*(1-G15)</f>
        <v>121817.7332882349</v>
      </c>
      <c r="H16" s="201">
        <f>H11*H12*H13*H14*(1-H15)</f>
        <v>169528.6417044081</v>
      </c>
      <c r="I16" s="608"/>
      <c r="J16" s="607"/>
    </row>
    <row r="17" spans="2:10" x14ac:dyDescent="0.2">
      <c r="C17" s="52"/>
      <c r="I17" s="608"/>
      <c r="J17" s="607"/>
    </row>
    <row r="18" spans="2:10" x14ac:dyDescent="0.2">
      <c r="B18" t="s">
        <v>805</v>
      </c>
      <c r="C18" s="202"/>
      <c r="D18" s="86">
        <f>D9-'MK Bases Model (Base Case)'!C16</f>
        <v>35.275000000000013</v>
      </c>
      <c r="E18" s="86">
        <f>E9-'MK Bases Model (Base Case)'!D16</f>
        <v>37.472058823529416</v>
      </c>
      <c r="F18" s="86">
        <f>F9-'MK Bases Model (Base Case)'!E16</f>
        <v>38.709417077935036</v>
      </c>
      <c r="G18" s="86">
        <f>G9-'MK Bases Model (Base Case)'!F16</f>
        <v>31.505091672395594</v>
      </c>
      <c r="H18" s="86">
        <f>H9-'MK Bases Model (Base Case)'!G16</f>
        <v>30.977095078453445</v>
      </c>
      <c r="I18" s="608"/>
      <c r="J18" s="607"/>
    </row>
    <row r="19" spans="2:10" x14ac:dyDescent="0.2">
      <c r="B19" s="203" t="s">
        <v>980</v>
      </c>
      <c r="C19" s="204"/>
      <c r="D19" s="205">
        <f>D9-D18</f>
        <v>49.503571428571426</v>
      </c>
      <c r="E19" s="205">
        <f>E9-E18</f>
        <v>49.189705882352946</v>
      </c>
      <c r="F19" s="205">
        <f>F9-F18</f>
        <v>46.384977609219568</v>
      </c>
      <c r="G19" s="205">
        <f>G9-G18</f>
        <v>45.150854986944765</v>
      </c>
      <c r="H19" s="205">
        <f>H9-H18</f>
        <v>44.454622937924668</v>
      </c>
      <c r="I19" s="624"/>
      <c r="J19" s="607"/>
    </row>
    <row r="20" spans="2:10" x14ac:dyDescent="0.2">
      <c r="C20" s="52"/>
      <c r="D20" s="86"/>
      <c r="E20" s="86"/>
      <c r="F20" s="86"/>
      <c r="G20" s="86"/>
      <c r="H20" s="86"/>
      <c r="I20" s="608"/>
      <c r="J20" s="607"/>
    </row>
    <row r="21" spans="2:10" x14ac:dyDescent="0.2">
      <c r="B21" s="5" t="s">
        <v>1450</v>
      </c>
      <c r="C21" s="206"/>
      <c r="D21" s="86">
        <f>'OM Assumptions'!C73</f>
        <v>30.37449046820376</v>
      </c>
      <c r="E21" s="86">
        <f>'OM Assumptions'!D73</f>
        <v>26.583200265098725</v>
      </c>
      <c r="F21" s="86">
        <f>'OM Assumptions'!E73</f>
        <v>21.314549584023851</v>
      </c>
      <c r="G21" s="86">
        <f>'OM Assumptions'!F73</f>
        <v>20.12383882033145</v>
      </c>
      <c r="H21" s="86">
        <f>'OM Assumptions'!G73</f>
        <v>19.711400269214373</v>
      </c>
      <c r="I21" s="621"/>
      <c r="J21" s="607"/>
    </row>
    <row r="22" spans="2:10" x14ac:dyDescent="0.2">
      <c r="B22" t="s">
        <v>1451</v>
      </c>
      <c r="C22" s="206"/>
      <c r="D22" s="86">
        <f>'OM Assumptions'!C69*I22</f>
        <v>15.18403079434338</v>
      </c>
      <c r="E22" s="86">
        <f>'OM Assumptions'!D69</f>
        <v>15.18403079434338</v>
      </c>
      <c r="F22" s="86">
        <f>'OM Assumptions'!E69</f>
        <v>15.18403079434338</v>
      </c>
      <c r="G22" s="86">
        <f>'OM Assumptions'!F69</f>
        <v>15.18403079434338</v>
      </c>
      <c r="H22" s="86">
        <f>'OM Assumptions'!G69</f>
        <v>15.18403079434338</v>
      </c>
      <c r="I22" s="621">
        <v>1</v>
      </c>
      <c r="J22" s="607" t="s">
        <v>1452</v>
      </c>
    </row>
    <row r="23" spans="2:10" x14ac:dyDescent="0.2">
      <c r="B23" t="s">
        <v>810</v>
      </c>
      <c r="C23" s="206"/>
      <c r="D23" s="86">
        <f>'OM Assumptions'!C70</f>
        <v>2.704476666666666</v>
      </c>
      <c r="E23" s="86">
        <f>'OM Assumptions'!D70</f>
        <v>3.2475948683322082</v>
      </c>
      <c r="F23" s="86">
        <f>'OM Assumptions'!E70</f>
        <v>2.9929788786853559</v>
      </c>
      <c r="G23" s="86">
        <f>'OM Assumptions'!F70</f>
        <v>3.0827682450459162</v>
      </c>
      <c r="H23" s="86">
        <f>'OM Assumptions'!G70</f>
        <v>3.1752512923972946</v>
      </c>
      <c r="I23" s="621">
        <v>1</v>
      </c>
      <c r="J23" s="607" t="s">
        <v>1452</v>
      </c>
    </row>
    <row r="24" spans="2:10" x14ac:dyDescent="0.2">
      <c r="B24" t="s">
        <v>812</v>
      </c>
      <c r="C24" s="206"/>
      <c r="D24" s="86">
        <f>'OM Assumptions'!C71</f>
        <v>12.485983007193713</v>
      </c>
      <c r="E24" s="86">
        <f>'OM Assumptions'!D71</f>
        <v>8.1515746024231355</v>
      </c>
      <c r="F24" s="86">
        <f>'OM Assumptions'!E71</f>
        <v>3.137539910995117</v>
      </c>
      <c r="G24" s="86">
        <f>'OM Assumptions'!F71</f>
        <v>1.8570397809421535</v>
      </c>
      <c r="H24" s="86">
        <f>'OM Assumptions'!G71</f>
        <v>1.3521181824736999</v>
      </c>
      <c r="I24" s="621">
        <v>1</v>
      </c>
      <c r="J24" s="607" t="s">
        <v>1452</v>
      </c>
    </row>
    <row r="25" spans="2:10" x14ac:dyDescent="0.2">
      <c r="B25" s="203" t="s">
        <v>1450</v>
      </c>
      <c r="C25" s="209"/>
      <c r="D25" s="205">
        <f>ROUND(D22+D23+D24,2)</f>
        <v>30.37</v>
      </c>
      <c r="E25" s="205">
        <f>ROUND(E22+E23+E24,2)</f>
        <v>26.58</v>
      </c>
      <c r="F25" s="205">
        <f>ROUND(F22+F23+F24,2)</f>
        <v>21.31</v>
      </c>
      <c r="G25" s="205">
        <f>ROUND(G22+G23+G24,2)</f>
        <v>20.12</v>
      </c>
      <c r="H25" s="205">
        <f>H21</f>
        <v>19.711400269214373</v>
      </c>
      <c r="I25" s="626"/>
      <c r="J25" s="607"/>
    </row>
    <row r="26" spans="2:10" x14ac:dyDescent="0.2">
      <c r="B26" s="5"/>
      <c r="C26" s="52"/>
      <c r="D26" s="86"/>
      <c r="E26" s="86"/>
      <c r="F26" s="86"/>
      <c r="G26" s="86"/>
      <c r="H26" s="86"/>
      <c r="I26" s="625"/>
      <c r="J26" s="607"/>
    </row>
    <row r="27" spans="2:10" x14ac:dyDescent="0.2">
      <c r="B27" s="203" t="s">
        <v>1453</v>
      </c>
      <c r="C27" s="204"/>
      <c r="D27" s="205">
        <f>D19-D25</f>
        <v>19.133571428571425</v>
      </c>
      <c r="E27" s="205">
        <f>E19-E25</f>
        <v>22.609705882352948</v>
      </c>
      <c r="F27" s="205">
        <f>F19-F25</f>
        <v>25.07497760921957</v>
      </c>
      <c r="G27" s="205">
        <f>G19-G25</f>
        <v>25.030854986944764</v>
      </c>
      <c r="H27" s="205">
        <f>H19-H25</f>
        <v>24.743222668710295</v>
      </c>
      <c r="I27" s="624"/>
      <c r="J27" s="607"/>
    </row>
    <row r="28" spans="2:10" x14ac:dyDescent="0.2">
      <c r="B28" s="5"/>
      <c r="C28" s="52"/>
      <c r="D28" s="86"/>
      <c r="E28" s="86"/>
      <c r="F28" s="86"/>
      <c r="G28" s="86"/>
      <c r="H28" s="86"/>
      <c r="I28" s="625"/>
      <c r="J28" s="607"/>
    </row>
    <row r="29" spans="2:10" x14ac:dyDescent="0.2">
      <c r="B29" t="s">
        <v>814</v>
      </c>
      <c r="C29" s="210">
        <v>0.2</v>
      </c>
      <c r="D29" s="86">
        <f>ROUND(D19*$C$29,2)</f>
        <v>9.9</v>
      </c>
      <c r="E29" s="86">
        <f>ROUND(E19*$C$29,2)</f>
        <v>9.84</v>
      </c>
      <c r="F29" s="86">
        <f>ROUND(F19*$C$29,2)</f>
        <v>9.2799999999999994</v>
      </c>
      <c r="G29" s="86">
        <f>ROUND(G19*$C$29,2)</f>
        <v>9.0299999999999994</v>
      </c>
      <c r="H29" s="86">
        <f>ROUND(H19*$C$29,2)</f>
        <v>8.89</v>
      </c>
      <c r="I29" s="608"/>
      <c r="J29" s="607"/>
    </row>
    <row r="30" spans="2:10" x14ac:dyDescent="0.2">
      <c r="B30" t="s">
        <v>815</v>
      </c>
      <c r="C30" s="210">
        <v>0.25</v>
      </c>
      <c r="D30" s="86">
        <f>ROUND(D19*$C$30,2)</f>
        <v>12.38</v>
      </c>
      <c r="E30" s="86">
        <f>ROUND(E19*$C$30,2)</f>
        <v>12.3</v>
      </c>
      <c r="F30" s="86">
        <f>ROUND(F19*$C$30,2)</f>
        <v>11.6</v>
      </c>
      <c r="G30" s="86">
        <f>ROUND(G19*$C$30,2)</f>
        <v>11.29</v>
      </c>
      <c r="H30" s="86">
        <f>ROUND(H19*$C$30,2)</f>
        <v>11.11</v>
      </c>
      <c r="I30" s="608"/>
      <c r="J30" s="607"/>
    </row>
    <row r="31" spans="2:10" x14ac:dyDescent="0.2">
      <c r="B31" s="211" t="s">
        <v>816</v>
      </c>
      <c r="C31" s="212">
        <v>0.15</v>
      </c>
      <c r="D31" s="213">
        <f>ROUND(D27-D29-D30,2)</f>
        <v>-3.15</v>
      </c>
      <c r="E31" s="213">
        <f>ROUND(E27-E29-E30,2)</f>
        <v>0.47</v>
      </c>
      <c r="F31" s="213">
        <f>ROUND(F27-F29-F30,2)</f>
        <v>4.1900000000000004</v>
      </c>
      <c r="G31" s="213">
        <f>ROUND(G27-G29-G30,2)</f>
        <v>4.71</v>
      </c>
      <c r="H31" s="213">
        <f>ROUND(H27-H29-H30,2)</f>
        <v>4.74</v>
      </c>
      <c r="I31" s="627"/>
      <c r="J31" s="607"/>
    </row>
    <row r="32" spans="2:10" x14ac:dyDescent="0.2">
      <c r="C32" s="52"/>
      <c r="D32" s="86"/>
      <c r="E32" s="86"/>
      <c r="F32" s="86"/>
      <c r="G32" s="86"/>
      <c r="H32" s="86"/>
      <c r="I32" s="608"/>
      <c r="J32" s="607"/>
    </row>
    <row r="33" spans="2:10" x14ac:dyDescent="0.2">
      <c r="B33" s="1470" t="s">
        <v>818</v>
      </c>
      <c r="C33" s="1468"/>
      <c r="D33" s="1469">
        <f>D16*D19</f>
        <v>673694.10357142857</v>
      </c>
      <c r="E33" s="1469">
        <f>E16*E19</f>
        <v>1325502.9445435798</v>
      </c>
      <c r="F33" s="1469">
        <f>F16*F19</f>
        <v>3292775.7148850602</v>
      </c>
      <c r="G33" s="1469">
        <f>G16*G19</f>
        <v>5500174.8105354076</v>
      </c>
      <c r="H33" s="1469">
        <f>H16*H19</f>
        <v>7536331.8441479933</v>
      </c>
      <c r="I33" s="628"/>
      <c r="J33" s="607"/>
    </row>
    <row r="34" spans="2:10" x14ac:dyDescent="0.2">
      <c r="B34" t="s">
        <v>819</v>
      </c>
      <c r="C34" s="52"/>
      <c r="D34" s="59">
        <f>D16*D31</f>
        <v>-42868.35</v>
      </c>
      <c r="E34" s="59">
        <f>E16*E31</f>
        <v>12664.974769832523</v>
      </c>
      <c r="F34" s="59">
        <f>F16*F31</f>
        <v>297439.62283655687</v>
      </c>
      <c r="G34" s="59">
        <f>G16*G31</f>
        <v>573761.52378758637</v>
      </c>
      <c r="H34" s="59">
        <f>H16*H31</f>
        <v>803565.7616788944</v>
      </c>
      <c r="I34" s="608"/>
      <c r="J34" s="607"/>
    </row>
    <row r="35" spans="2:10" x14ac:dyDescent="0.2">
      <c r="B35" s="5" t="s">
        <v>820</v>
      </c>
      <c r="C35" s="52"/>
      <c r="D35" s="64">
        <f>D34/D33</f>
        <v>-6.3631772599379549E-2</v>
      </c>
      <c r="E35" s="64">
        <f>E34/E33</f>
        <v>9.5548446889294134E-3</v>
      </c>
      <c r="F35" s="64">
        <f>F34/F33</f>
        <v>9.0330969550089596E-2</v>
      </c>
      <c r="G35" s="64">
        <f>G34/G33</f>
        <v>0.10431696146976359</v>
      </c>
      <c r="H35" s="64">
        <f>H34/H33</f>
        <v>0.10662558102492103</v>
      </c>
      <c r="I35" s="608"/>
      <c r="J35" s="607"/>
    </row>
    <row r="36" spans="2:10" x14ac:dyDescent="0.2">
      <c r="C36" s="52"/>
      <c r="I36" s="608"/>
      <c r="J36" s="607"/>
    </row>
    <row r="37" spans="2:10" x14ac:dyDescent="0.2">
      <c r="B37" t="s">
        <v>1454</v>
      </c>
      <c r="C37" s="52"/>
      <c r="D37" s="59">
        <f>10000</f>
        <v>10000</v>
      </c>
      <c r="E37" s="59">
        <f>10000</f>
        <v>10000</v>
      </c>
      <c r="F37" s="59">
        <f>10000</f>
        <v>10000</v>
      </c>
      <c r="G37" s="59">
        <f>10000</f>
        <v>10000</v>
      </c>
      <c r="H37" s="59">
        <f>10000*I37</f>
        <v>10000</v>
      </c>
      <c r="I37" s="623">
        <v>1</v>
      </c>
      <c r="J37" s="607"/>
    </row>
    <row r="38" spans="2:10" x14ac:dyDescent="0.2">
      <c r="B38" s="1470" t="s">
        <v>822</v>
      </c>
      <c r="C38" s="1468"/>
      <c r="D38" s="1469">
        <f>D34-D37</f>
        <v>-52868.35</v>
      </c>
      <c r="E38" s="1469">
        <f>E34-E37</f>
        <v>2664.9747698325227</v>
      </c>
      <c r="F38" s="1469">
        <f>F34-F37</f>
        <v>287439.62283655687</v>
      </c>
      <c r="G38" s="1469">
        <f>G34-G37</f>
        <v>563761.52378758637</v>
      </c>
      <c r="H38" s="1469">
        <f>H34-H37</f>
        <v>793565.7616788944</v>
      </c>
      <c r="I38" s="628"/>
      <c r="J38" s="607"/>
    </row>
    <row r="39" spans="2:10" x14ac:dyDescent="0.2">
      <c r="B39" s="5" t="s">
        <v>1455</v>
      </c>
      <c r="C39" s="52"/>
      <c r="D39" s="215">
        <f>D38/D33</f>
        <v>-7.8475304622277461E-2</v>
      </c>
      <c r="E39" s="215">
        <f>E38/E33</f>
        <v>2.0105385512743414E-3</v>
      </c>
      <c r="F39" s="215">
        <f>F38/F33</f>
        <v>8.7294018094576001E-2</v>
      </c>
      <c r="G39" s="215">
        <f>G38/G33</f>
        <v>0.10249883743835184</v>
      </c>
      <c r="H39" s="215">
        <f>H38/H33</f>
        <v>0.10529867554798598</v>
      </c>
      <c r="I39" s="608"/>
      <c r="J39" s="607"/>
    </row>
  </sheetData>
  <hyperlinks>
    <hyperlink ref="B1" location="Index!A1" display="Back to Index" xr:uid="{00C88685-6749-4C24-BD6D-18DFDD337EB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FAFC8B3003FC846A6C2472718C64EB8" ma:contentTypeVersion="4" ma:contentTypeDescription="Create a new document." ma:contentTypeScope="" ma:versionID="c5b991f55bf7bca498fb8d182e6284e1">
  <xsd:schema xmlns:xsd="http://www.w3.org/2001/XMLSchema" xmlns:xs="http://www.w3.org/2001/XMLSchema" xmlns:p="http://schemas.microsoft.com/office/2006/metadata/properties" xmlns:ns2="c84c7150-9215-40df-b35c-ef1cdc5128e5" targetNamespace="http://schemas.microsoft.com/office/2006/metadata/properties" ma:root="true" ma:fieldsID="8d140384197c1fc7b6ae6fb41671f909" ns2:_="">
    <xsd:import namespace="c84c7150-9215-40df-b35c-ef1cdc5128e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4c7150-9215-40df-b35c-ef1cdc5128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C1E8E4-6FF4-483D-96EF-4753D1EA33DE}">
  <ds:schemaRef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www.w3.org/XML/1998/namespace"/>
    <ds:schemaRef ds:uri="http://schemas.openxmlformats.org/package/2006/metadata/core-properties"/>
    <ds:schemaRef ds:uri="c84c7150-9215-40df-b35c-ef1cdc5128e5"/>
    <ds:schemaRef ds:uri="http://purl.org/dc/dcmitype/"/>
  </ds:schemaRefs>
</ds:datastoreItem>
</file>

<file path=customXml/itemProps2.xml><?xml version="1.0" encoding="utf-8"?>
<ds:datastoreItem xmlns:ds="http://schemas.openxmlformats.org/officeDocument/2006/customXml" ds:itemID="{1B8B575E-B311-4B8D-B054-27AB9D3828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4c7150-9215-40df-b35c-ef1cdc5128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D108D2E-705E-4D33-AD3A-016A7F5B12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33</vt:i4>
      </vt:variant>
      <vt:variant>
        <vt:lpstr>Named Ranges</vt:lpstr>
      </vt:variant>
      <vt:variant>
        <vt:i4>1</vt:i4>
      </vt:variant>
    </vt:vector>
  </HeadingPairs>
  <TitlesOfParts>
    <vt:vector size="34" baseType="lpstr">
      <vt:lpstr>Index</vt:lpstr>
      <vt:lpstr>FE Assumptions</vt:lpstr>
      <vt:lpstr>FE Income Statement</vt:lpstr>
      <vt:lpstr>FE Cash Flow</vt:lpstr>
      <vt:lpstr>FE Balance Sheet</vt:lpstr>
      <vt:lpstr>FE CAPM - Comparable Ratios</vt:lpstr>
      <vt:lpstr>FE Terminal Value</vt:lpstr>
      <vt:lpstr>FE Income Statement Graphs</vt:lpstr>
      <vt:lpstr>OM Assumptions</vt:lpstr>
      <vt:lpstr>Time 0 Startup Inventory</vt:lpstr>
      <vt:lpstr>OM Information Systems Expenses</vt:lpstr>
      <vt:lpstr>OM SG&amp;A</vt:lpstr>
      <vt:lpstr>CAPEX</vt:lpstr>
      <vt:lpstr>OM MOH</vt:lpstr>
      <vt:lpstr>OM Labor</vt:lpstr>
      <vt:lpstr>OM Micro Data</vt:lpstr>
      <vt:lpstr>OM Raw Materials Y1 - Y5</vt:lpstr>
      <vt:lpstr>OM $ Raw Material </vt:lpstr>
      <vt:lpstr>Finished Goods </vt:lpstr>
      <vt:lpstr>Aggregate Planning</vt:lpstr>
      <vt:lpstr>Capacity</vt:lpstr>
      <vt:lpstr>Target Costing</vt:lpstr>
      <vt:lpstr>Logistics of Transportation</vt:lpstr>
      <vt:lpstr>OM Make Versus Buy Analysis</vt:lpstr>
      <vt:lpstr>MK Assumptions</vt:lpstr>
      <vt:lpstr>MK Bases Model (Base Case)</vt:lpstr>
      <vt:lpstr>MK Avg Manf. Selling Price</vt:lpstr>
      <vt:lpstr>MK Purchase Intent and Price</vt:lpstr>
      <vt:lpstr>MK IMC Schedule</vt:lpstr>
      <vt:lpstr>MK ACV</vt:lpstr>
      <vt:lpstr>MK IMC Calculations</vt:lpstr>
      <vt:lpstr>MK BASES For Segment Size</vt:lpstr>
      <vt:lpstr>FE MK OM Bases_Y1-Y5</vt:lpstr>
      <vt:lpstr>Scenario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Fox</dc:creator>
  <cp:keywords/>
  <dc:description/>
  <cp:lastModifiedBy>Weng, Maderlin</cp:lastModifiedBy>
  <cp:revision/>
  <dcterms:created xsi:type="dcterms:W3CDTF">2018-10-30T16:55:16Z</dcterms:created>
  <dcterms:modified xsi:type="dcterms:W3CDTF">2022-01-02T03:24:35Z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0x010100BFAFC8B3003FC846A6C2472718C64EB8</vt:lpwstr>
  </property>
</Properties>
</file>